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570" windowHeight="7410" tabRatio="897" firstSheet="3" activeTab="13"/>
  </bookViews>
  <sheets>
    <sheet name="Лист1" sheetId="1" state="hidden" r:id="rId1"/>
    <sheet name="Исходная инф" sheetId="2" state="hidden" r:id="rId2"/>
    <sheet name="Информация о тех. прис." sheetId="3" state="hidden" r:id="rId3"/>
    <sheet name="П1 до 15 кВт суммарно" sheetId="36" r:id="rId4"/>
    <sheet name="П1 от 15 до 150 (0,4 кВт) сумм" sheetId="37" r:id="rId5"/>
    <sheet name="П1 0,4 кВт льготн" sheetId="6" state="hidden" r:id="rId6"/>
    <sheet name="П1 0,4кв льготн+стр-во(Шмонин)" sheetId="31" state="hidden" r:id="rId7"/>
    <sheet name="П1 0,4кВт повторное" sheetId="19" state="hidden" r:id="rId8"/>
    <sheet name="0,4кВ Приложение №3" sheetId="5" state="hidden" r:id="rId9"/>
    <sheet name="04 кВт ЛЬГОТН" sheetId="27" state="hidden" r:id="rId10"/>
    <sheet name="0,4 кВт НЕ льготн" sheetId="28" state="hidden" r:id="rId11"/>
    <sheet name="0,4 кВт перенос в льготн" sheetId="29" state="hidden" r:id="rId12"/>
    <sheet name="0,4 кВт пере в льготн" sheetId="30" state="hidden" r:id="rId13"/>
    <sheet name="6 кВ Приложение №3" sheetId="7" r:id="rId14"/>
    <sheet name="Факт за 2017 г." sheetId="14" state="hidden" r:id="rId15"/>
    <sheet name="Факт за 2016 г." sheetId="15" state="hidden" r:id="rId16"/>
    <sheet name="Анализ факта" sheetId="13" state="hidden" r:id="rId17"/>
    <sheet name="проверка" sheetId="32" state="hidden" r:id="rId18"/>
    <sheet name="Раб1" sheetId="33" state="hidden" r:id="rId19"/>
    <sheet name="Раб2" sheetId="25" state="hidden" r:id="rId20"/>
    <sheet name="Лист2" sheetId="38" state="hidden" r:id="rId21"/>
  </sheets>
  <externalReferences>
    <externalReference r:id="rId22"/>
    <externalReference r:id="rId23"/>
  </externalReferences>
  <definedNames>
    <definedName name="_xlnm.Print_Titles" localSheetId="10">'0,4 кВт НЕ льготн'!$A:$K,'0,4 кВт НЕ льготн'!$6:$9</definedName>
    <definedName name="_xlnm.Print_Titles" localSheetId="8">'0,4кВ Приложение №3'!$A:$K,'0,4кВ Приложение №3'!$6:$9</definedName>
    <definedName name="_xlnm.Print_Titles" localSheetId="9">'04 кВт ЛЬГОТН'!$A:$K,'04 кВт ЛЬГОТН'!$6:$9</definedName>
    <definedName name="_xlnm.Print_Titles" localSheetId="13">'6 кВ Приложение №3'!$A:$K,'6 кВ Приложение №3'!$6:$9</definedName>
    <definedName name="_xlnm.Print_Titles" localSheetId="2">'Информация о тех. прис.'!$A:$K,'Информация о тех. прис.'!$3:$4</definedName>
    <definedName name="_xlnm.Print_Titles" localSheetId="1">'Исходная инф'!$A:$G,'Исходная инф'!$2:$3</definedName>
    <definedName name="_xlnm.Print_Titles" localSheetId="5">'П1 0,4 кВт льготн'!$A:$K,'П1 0,4 кВт льготн'!$6:$8</definedName>
    <definedName name="_xlnm.Print_Titles" localSheetId="6">'П1 0,4кв льготн+стр-во(Шмонин)'!$A:$K,'П1 0,4кв льготн+стр-во(Шмонин)'!$6:$8</definedName>
    <definedName name="_xlnm.Print_Titles" localSheetId="7">'П1 0,4кВт повторное'!$A:$K,'П1 0,4кВт повторное'!$6:$8</definedName>
    <definedName name="_xlnm.Print_Titles" localSheetId="3">'П1 до 15 кВт суммарно'!$A:$K,'П1 до 15 кВт суммарно'!$6:$8</definedName>
    <definedName name="_xlnm.Print_Titles" localSheetId="4">'П1 от 15 до 150 (0,4 кВт) сумм'!$A:$K,'П1 от 15 до 150 (0,4 кВт) сумм'!$6:$9</definedName>
    <definedName name="_xlnm.Print_Area" localSheetId="10">'0,4 кВт НЕ льготн'!$A$1:$K$29</definedName>
    <definedName name="_xlnm.Print_Area" localSheetId="8">'0,4кВ Приложение №3'!$A$1:$K$29</definedName>
    <definedName name="_xlnm.Print_Area" localSheetId="9">'04 кВт ЛЬГОТН'!$A$1:$K$29</definedName>
    <definedName name="_xlnm.Print_Area" localSheetId="13">'6 кВ Приложение №3'!$A$1:$K$29</definedName>
    <definedName name="_xlnm.Print_Area" localSheetId="2">'Информация о тех. прис.'!$A$1:$K$56</definedName>
    <definedName name="_xlnm.Print_Area" localSheetId="1">'Исходная инф'!$A$1:$G$47</definedName>
    <definedName name="_xlnm.Print_Area" localSheetId="5">'П1 0,4 кВт льготн'!$A$1:$K$26</definedName>
    <definedName name="_xlnm.Print_Area" localSheetId="6">'П1 0,4кв льготн+стр-во(Шмонин)'!$A$1:$K$26</definedName>
    <definedName name="_xlnm.Print_Area" localSheetId="7">'П1 0,4кВт повторное'!$A$1:$K$26</definedName>
    <definedName name="_xlnm.Print_Area" localSheetId="3">'П1 до 15 кВт суммарно'!$A$1:$K$26</definedName>
    <definedName name="_xlnm.Print_Area" localSheetId="4">'П1 от 15 до 150 (0,4 кВт) сумм'!$A$1:$K$29</definedName>
    <definedName name="_xlnm.Print_Area" localSheetId="17">проверка!$A$2:$F$25</definedName>
    <definedName name="_xlnm.Print_Area" localSheetId="18">Раб1!$A$1:$D$29</definedName>
    <definedName name="_xlnm.Print_Area" localSheetId="19">Раб2!$A$1:$D$45</definedName>
  </definedNames>
  <calcPr calcId="145621"/>
</workbook>
</file>

<file path=xl/calcChain.xml><?xml version="1.0" encoding="utf-8"?>
<calcChain xmlns="http://schemas.openxmlformats.org/spreadsheetml/2006/main">
  <c r="D16" i="28" l="1"/>
  <c r="E16" i="28"/>
  <c r="E12" i="27"/>
  <c r="E13" i="27"/>
  <c r="E14" i="27"/>
  <c r="E11" i="27"/>
  <c r="D15" i="31"/>
  <c r="D15" i="19"/>
  <c r="E10" i="28" l="1"/>
  <c r="E11" i="28"/>
  <c r="E14" i="28"/>
  <c r="E13" i="28"/>
  <c r="E12" i="28"/>
  <c r="D15" i="6" l="1"/>
  <c r="P15" i="6" s="1"/>
  <c r="P16" i="6" s="1"/>
  <c r="E10" i="27"/>
  <c r="E15" i="19"/>
  <c r="C15" i="19" s="1"/>
  <c r="G25" i="32" l="1"/>
  <c r="E11" i="32" l="1"/>
  <c r="D28" i="33" l="1"/>
  <c r="D27" i="33"/>
  <c r="D29" i="33"/>
  <c r="C10" i="31"/>
  <c r="F10" i="31" s="1"/>
  <c r="C11" i="31"/>
  <c r="F11" i="31" s="1"/>
  <c r="C12" i="31"/>
  <c r="F12" i="31" s="1"/>
  <c r="C13" i="31"/>
  <c r="F13" i="31" s="1"/>
  <c r="C9" i="31"/>
  <c r="F9" i="31" s="1"/>
  <c r="D39" i="33"/>
  <c r="D44" i="33" s="1"/>
  <c r="D38" i="33"/>
  <c r="D42" i="33" s="1"/>
  <c r="C41" i="33"/>
  <c r="C42" i="33"/>
  <c r="C43" i="33"/>
  <c r="C44" i="33"/>
  <c r="C39" i="33"/>
  <c r="C38" i="33"/>
  <c r="B45" i="33"/>
  <c r="F33" i="33"/>
  <c r="E33" i="33"/>
  <c r="G33" i="33" s="1"/>
  <c r="F34" i="33"/>
  <c r="E34" i="33"/>
  <c r="D26" i="33"/>
  <c r="I26" i="33"/>
  <c r="D39" i="25"/>
  <c r="C45" i="33" l="1"/>
  <c r="G34" i="33"/>
  <c r="D25" i="33"/>
  <c r="F24" i="33"/>
  <c r="G24" i="33" s="1"/>
  <c r="K20" i="33"/>
  <c r="L20" i="33" s="1"/>
  <c r="K21" i="33"/>
  <c r="L21" i="33" s="1"/>
  <c r="K22" i="33"/>
  <c r="L22" i="33" s="1"/>
  <c r="K23" i="33"/>
  <c r="L23" i="33" s="1"/>
  <c r="K18" i="33"/>
  <c r="L18" i="33" s="1"/>
  <c r="K19" i="33"/>
  <c r="L19" i="33" s="1"/>
  <c r="K13" i="33"/>
  <c r="K14" i="33"/>
  <c r="L14" i="33" s="1"/>
  <c r="K15" i="33"/>
  <c r="L15" i="33" s="1"/>
  <c r="K16" i="33"/>
  <c r="L16" i="33" s="1"/>
  <c r="J17" i="33"/>
  <c r="K17" i="33" s="1"/>
  <c r="L17" i="33" s="1"/>
  <c r="K12" i="33"/>
  <c r="L12" i="33" s="1"/>
  <c r="F7" i="33"/>
  <c r="F8" i="33"/>
  <c r="G8" i="33" s="1"/>
  <c r="F9" i="33"/>
  <c r="G9" i="33" s="1"/>
  <c r="F10" i="33"/>
  <c r="G10" i="33" s="1"/>
  <c r="F11" i="33"/>
  <c r="G11" i="33" s="1"/>
  <c r="F12" i="33"/>
  <c r="F13" i="33"/>
  <c r="G13" i="33" s="1"/>
  <c r="F14" i="33"/>
  <c r="G14" i="33" s="1"/>
  <c r="N14" i="33" s="1"/>
  <c r="F15" i="33"/>
  <c r="G15" i="33" s="1"/>
  <c r="N15" i="33" s="1"/>
  <c r="F16" i="33"/>
  <c r="G16" i="33" s="1"/>
  <c r="N16" i="33" s="1"/>
  <c r="F17" i="33"/>
  <c r="G17" i="33" s="1"/>
  <c r="N17" i="33" s="1"/>
  <c r="F18" i="33"/>
  <c r="G18" i="33" s="1"/>
  <c r="F19" i="33"/>
  <c r="F20" i="33"/>
  <c r="G20" i="33" s="1"/>
  <c r="F21" i="33"/>
  <c r="G21" i="33" s="1"/>
  <c r="F22" i="33"/>
  <c r="G22" i="33" s="1"/>
  <c r="F23" i="33"/>
  <c r="G23" i="33" s="1"/>
  <c r="F6" i="33"/>
  <c r="G6" i="33" s="1"/>
  <c r="N23" i="33" l="1"/>
  <c r="F29" i="33"/>
  <c r="E13" i="6"/>
  <c r="E11" i="6"/>
  <c r="E10" i="6"/>
  <c r="E9" i="6"/>
  <c r="E12" i="6"/>
  <c r="N22" i="33"/>
  <c r="G19" i="33"/>
  <c r="N19" i="33" s="1"/>
  <c r="I34" i="33"/>
  <c r="G7" i="33"/>
  <c r="F26" i="33"/>
  <c r="N18" i="33"/>
  <c r="N21" i="33"/>
  <c r="K26" i="33"/>
  <c r="N20" i="33"/>
  <c r="G12" i="33"/>
  <c r="N12" i="33" s="1"/>
  <c r="I33" i="33"/>
  <c r="L13" i="33"/>
  <c r="L26" i="33" s="1"/>
  <c r="I16" i="27"/>
  <c r="I15" i="6"/>
  <c r="F8" i="32"/>
  <c r="F9" i="32"/>
  <c r="F12" i="32"/>
  <c r="F16" i="32"/>
  <c r="F17" i="32"/>
  <c r="F18" i="32"/>
  <c r="F21" i="32"/>
  <c r="F23" i="32"/>
  <c r="F4" i="32"/>
  <c r="E23" i="32"/>
  <c r="E19" i="32"/>
  <c r="F19" i="32" s="1"/>
  <c r="E18" i="32"/>
  <c r="E13" i="32"/>
  <c r="F13" i="32" s="1"/>
  <c r="F5" i="32"/>
  <c r="D44" i="32"/>
  <c r="D39" i="32"/>
  <c r="D38" i="32"/>
  <c r="D25" i="32"/>
  <c r="D24" i="32"/>
  <c r="H8" i="32"/>
  <c r="H7" i="32"/>
  <c r="F10" i="32" l="1"/>
  <c r="E14" i="32"/>
  <c r="E20" i="32"/>
  <c r="F11" i="32"/>
  <c r="D45" i="32"/>
  <c r="N13" i="33"/>
  <c r="N26" i="33" s="1"/>
  <c r="N29" i="33" s="1"/>
  <c r="D40" i="32"/>
  <c r="D40" i="25"/>
  <c r="D38" i="25"/>
  <c r="F6" i="32" l="1"/>
  <c r="F24" i="32" s="1"/>
  <c r="F7" i="32"/>
  <c r="E22" i="32"/>
  <c r="F22" i="32" s="1"/>
  <c r="F20" i="32"/>
  <c r="F14" i="32"/>
  <c r="E15" i="32"/>
  <c r="F15" i="32" s="1"/>
  <c r="F25" i="32" l="1"/>
  <c r="E22" i="31"/>
  <c r="G15" i="31"/>
  <c r="D9" i="31"/>
  <c r="D11" i="31" s="1"/>
  <c r="J26" i="31"/>
  <c r="A26" i="31"/>
  <c r="K16" i="31"/>
  <c r="K15" i="31"/>
  <c r="G12" i="31"/>
  <c r="H12" i="31"/>
  <c r="K11" i="31"/>
  <c r="K10" i="31"/>
  <c r="K9" i="31"/>
  <c r="K13" i="31"/>
  <c r="J15" i="6" l="1"/>
  <c r="K23" i="31"/>
  <c r="E9" i="31"/>
  <c r="G11" i="31"/>
  <c r="H11" i="31" s="1"/>
  <c r="E11" i="31"/>
  <c r="D13" i="31"/>
  <c r="G13" i="31" s="1"/>
  <c r="H13" i="31" s="1"/>
  <c r="D10" i="31"/>
  <c r="G10" i="31" s="1"/>
  <c r="G9" i="31" s="1"/>
  <c r="H22" i="31"/>
  <c r="J16" i="27" l="1"/>
  <c r="E13" i="31"/>
  <c r="H9" i="31"/>
  <c r="H10" i="31"/>
  <c r="E10" i="31"/>
  <c r="D44" i="25" l="1"/>
  <c r="D25" i="25"/>
  <c r="D24" i="25"/>
  <c r="D16" i="30" l="1"/>
  <c r="G16" i="30" s="1"/>
  <c r="A29" i="30"/>
  <c r="M16" i="30"/>
  <c r="J16" i="30"/>
  <c r="K16" i="30" s="1"/>
  <c r="K15" i="30" s="1"/>
  <c r="I16" i="30"/>
  <c r="O15" i="30"/>
  <c r="I14" i="30"/>
  <c r="F14" i="30"/>
  <c r="C14" i="30"/>
  <c r="C13" i="30"/>
  <c r="F13" i="30" s="1"/>
  <c r="C12" i="30"/>
  <c r="F12" i="30" s="1"/>
  <c r="C11" i="30"/>
  <c r="C10" i="30"/>
  <c r="F10" i="30" s="1"/>
  <c r="A29" i="29"/>
  <c r="M16" i="29"/>
  <c r="J16" i="29"/>
  <c r="I16" i="29"/>
  <c r="O15" i="29"/>
  <c r="I14" i="29"/>
  <c r="C14" i="29"/>
  <c r="F14" i="29" s="1"/>
  <c r="C13" i="29"/>
  <c r="F13" i="29" s="1"/>
  <c r="C12" i="29"/>
  <c r="F12" i="29" s="1"/>
  <c r="F11" i="29"/>
  <c r="C11" i="29"/>
  <c r="C10" i="29"/>
  <c r="F10" i="29" s="1"/>
  <c r="E16" i="30"/>
  <c r="E15" i="30" s="1"/>
  <c r="D10" i="29"/>
  <c r="D11" i="29" s="1"/>
  <c r="G11" i="29" s="1"/>
  <c r="D10" i="30"/>
  <c r="D11" i="30" s="1"/>
  <c r="E23" i="30"/>
  <c r="H23" i="30" s="1"/>
  <c r="E23" i="29"/>
  <c r="H23" i="29" s="1"/>
  <c r="A29" i="28"/>
  <c r="K16" i="28"/>
  <c r="I14" i="28"/>
  <c r="A29" i="27"/>
  <c r="K16" i="27"/>
  <c r="I14" i="27"/>
  <c r="D10" i="28"/>
  <c r="C10" i="28" s="1"/>
  <c r="F10" i="28" s="1"/>
  <c r="J9" i="6" l="1"/>
  <c r="D11" i="28"/>
  <c r="C11" i="28" s="1"/>
  <c r="F11" i="28" s="1"/>
  <c r="G10" i="28"/>
  <c r="H10" i="28" s="1"/>
  <c r="K15" i="27"/>
  <c r="K16" i="29"/>
  <c r="K15" i="29" s="1"/>
  <c r="E16" i="29"/>
  <c r="E15" i="29" s="1"/>
  <c r="E10" i="29"/>
  <c r="E10" i="30"/>
  <c r="E22" i="30" s="1"/>
  <c r="C16" i="30"/>
  <c r="F16" i="30" s="1"/>
  <c r="H16" i="30" s="1"/>
  <c r="H15" i="30" s="1"/>
  <c r="D12" i="30"/>
  <c r="G12" i="30" s="1"/>
  <c r="H12" i="30" s="1"/>
  <c r="G11" i="30"/>
  <c r="G10" i="30" s="1"/>
  <c r="H10" i="30" s="1"/>
  <c r="E11" i="30"/>
  <c r="F11" i="30"/>
  <c r="G10" i="29"/>
  <c r="H10" i="29" s="1"/>
  <c r="H11" i="29"/>
  <c r="E11" i="29"/>
  <c r="D12" i="29"/>
  <c r="D12" i="28" l="1"/>
  <c r="C12" i="28" s="1"/>
  <c r="F12" i="28" s="1"/>
  <c r="G11" i="28"/>
  <c r="H11" i="28" s="1"/>
  <c r="E22" i="29"/>
  <c r="H22" i="29" s="1"/>
  <c r="H21" i="29" s="1"/>
  <c r="E15" i="28"/>
  <c r="E12" i="30"/>
  <c r="D13" i="30"/>
  <c r="E13" i="30" s="1"/>
  <c r="E16" i="27"/>
  <c r="D10" i="27"/>
  <c r="H11" i="30"/>
  <c r="H22" i="30"/>
  <c r="H21" i="30" s="1"/>
  <c r="H24" i="30" s="1"/>
  <c r="E21" i="30"/>
  <c r="E24" i="30" s="1"/>
  <c r="G12" i="29"/>
  <c r="H12" i="29" s="1"/>
  <c r="D13" i="29"/>
  <c r="E12" i="29"/>
  <c r="E23" i="28"/>
  <c r="H23" i="28" s="1"/>
  <c r="D45" i="25"/>
  <c r="E24" i="25"/>
  <c r="M9" i="31"/>
  <c r="F8" i="25"/>
  <c r="F7" i="25"/>
  <c r="C10" i="27" l="1"/>
  <c r="F10" i="27" s="1"/>
  <c r="E15" i="31"/>
  <c r="E22" i="27"/>
  <c r="E22" i="28"/>
  <c r="E21" i="29"/>
  <c r="E24" i="29" s="1"/>
  <c r="G12" i="28"/>
  <c r="H12" i="28" s="1"/>
  <c r="D13" i="28"/>
  <c r="C13" i="28" s="1"/>
  <c r="F13" i="28" s="1"/>
  <c r="D14" i="30"/>
  <c r="G14" i="30" s="1"/>
  <c r="H14" i="30" s="1"/>
  <c r="D11" i="27"/>
  <c r="C11" i="27" s="1"/>
  <c r="F11" i="27" s="1"/>
  <c r="E23" i="27"/>
  <c r="H23" i="27" s="1"/>
  <c r="G13" i="30"/>
  <c r="H13" i="30" s="1"/>
  <c r="E15" i="27"/>
  <c r="D16" i="29"/>
  <c r="G16" i="28"/>
  <c r="C16" i="28"/>
  <c r="F16" i="28" s="1"/>
  <c r="D14" i="29"/>
  <c r="G13" i="29"/>
  <c r="H13" i="29" s="1"/>
  <c r="E13" i="29"/>
  <c r="H16" i="28" l="1"/>
  <c r="H15" i="28" s="1"/>
  <c r="H22" i="28" s="1"/>
  <c r="C15" i="31"/>
  <c r="F15" i="31" s="1"/>
  <c r="H15" i="31" s="1"/>
  <c r="H14" i="31" s="1"/>
  <c r="M15" i="31"/>
  <c r="E14" i="31"/>
  <c r="E21" i="31"/>
  <c r="E20" i="31" s="1"/>
  <c r="G13" i="28"/>
  <c r="H13" i="28" s="1"/>
  <c r="D14" i="28"/>
  <c r="C14" i="28" s="1"/>
  <c r="F14" i="28" s="1"/>
  <c r="E14" i="30"/>
  <c r="H21" i="28"/>
  <c r="H24" i="28" s="1"/>
  <c r="E21" i="28"/>
  <c r="E24" i="28" s="1"/>
  <c r="G11" i="27"/>
  <c r="D12" i="27"/>
  <c r="C12" i="27" s="1"/>
  <c r="F12" i="27" s="1"/>
  <c r="G16" i="27"/>
  <c r="C16" i="29"/>
  <c r="F16" i="29" s="1"/>
  <c r="G16" i="29"/>
  <c r="M18" i="29"/>
  <c r="E14" i="29"/>
  <c r="G14" i="29"/>
  <c r="H14" i="29" s="1"/>
  <c r="I16" i="5"/>
  <c r="K15" i="6"/>
  <c r="E23" i="31" l="1"/>
  <c r="H21" i="31"/>
  <c r="H20" i="31" s="1"/>
  <c r="H23" i="31" s="1"/>
  <c r="G14" i="28"/>
  <c r="H14" i="28" s="1"/>
  <c r="D13" i="27"/>
  <c r="C13" i="27" s="1"/>
  <c r="F13" i="27" s="1"/>
  <c r="G12" i="27"/>
  <c r="H12" i="27" s="1"/>
  <c r="G10" i="27"/>
  <c r="H10" i="27" s="1"/>
  <c r="H11" i="27"/>
  <c r="E21" i="27"/>
  <c r="E24" i="27" s="1"/>
  <c r="H22" i="27"/>
  <c r="H21" i="27" s="1"/>
  <c r="H16" i="29"/>
  <c r="H15" i="29" s="1"/>
  <c r="H24" i="29" s="1"/>
  <c r="I10" i="6"/>
  <c r="I11" i="6"/>
  <c r="I9" i="6"/>
  <c r="I14" i="5"/>
  <c r="G16" i="5"/>
  <c r="H16" i="27" l="1"/>
  <c r="H15" i="27" s="1"/>
  <c r="H24" i="27" s="1"/>
  <c r="I12" i="5"/>
  <c r="I12" i="30"/>
  <c r="I12" i="27"/>
  <c r="I12" i="29"/>
  <c r="I11" i="27"/>
  <c r="I11" i="30"/>
  <c r="I11" i="29"/>
  <c r="I11" i="5"/>
  <c r="I10" i="5"/>
  <c r="I10" i="29"/>
  <c r="I10" i="27"/>
  <c r="I10" i="30"/>
  <c r="G13" i="27"/>
  <c r="H13" i="27" s="1"/>
  <c r="D14" i="27"/>
  <c r="C14" i="27" s="1"/>
  <c r="F14" i="27" s="1"/>
  <c r="J16" i="5"/>
  <c r="K16" i="5" s="1"/>
  <c r="G14" i="27" l="1"/>
  <c r="H14" i="27" s="1"/>
  <c r="D16" i="5"/>
  <c r="C11" i="5"/>
  <c r="F11" i="5" s="1"/>
  <c r="C12" i="5"/>
  <c r="F12" i="5" s="1"/>
  <c r="C13" i="5"/>
  <c r="F13" i="5" s="1"/>
  <c r="C14" i="5"/>
  <c r="F14" i="5" s="1"/>
  <c r="C10" i="5"/>
  <c r="F10" i="5" s="1"/>
  <c r="K22" i="6" l="1"/>
  <c r="K23" i="29" l="1"/>
  <c r="K10" i="29" s="1"/>
  <c r="K23" i="27"/>
  <c r="K12" i="27" s="1"/>
  <c r="K10" i="6"/>
  <c r="K9" i="6"/>
  <c r="J10" i="27"/>
  <c r="K23" i="30"/>
  <c r="K12" i="30" s="1"/>
  <c r="K23" i="5"/>
  <c r="K10" i="5" s="1"/>
  <c r="K22" i="5" s="1"/>
  <c r="K11" i="6"/>
  <c r="K11" i="27" l="1"/>
  <c r="K10" i="27"/>
  <c r="K22" i="27" s="1"/>
  <c r="K21" i="27" s="1"/>
  <c r="K24" i="27" s="1"/>
  <c r="K14" i="30"/>
  <c r="K11" i="30"/>
  <c r="K14" i="29"/>
  <c r="K11" i="29"/>
  <c r="K12" i="29"/>
  <c r="K10" i="30"/>
  <c r="K22" i="30" s="1"/>
  <c r="K21" i="30" s="1"/>
  <c r="K24" i="30" s="1"/>
  <c r="K14" i="27"/>
  <c r="K10" i="28"/>
  <c r="K24" i="28" s="1"/>
  <c r="K14" i="5"/>
  <c r="K12" i="28"/>
  <c r="K14" i="28"/>
  <c r="K11" i="5"/>
  <c r="K11" i="28"/>
  <c r="K12" i="5"/>
  <c r="K22" i="29"/>
  <c r="K21" i="29" s="1"/>
  <c r="K24" i="29" s="1"/>
  <c r="J10" i="5"/>
  <c r="J10" i="29"/>
  <c r="J11" i="29" s="1"/>
  <c r="J12" i="29" s="1"/>
  <c r="J13" i="29" s="1"/>
  <c r="J14" i="29" s="1"/>
  <c r="J11" i="27"/>
  <c r="J12" i="27" s="1"/>
  <c r="J13" i="27" s="1"/>
  <c r="J14" i="27" s="1"/>
  <c r="J10" i="30"/>
  <c r="J11" i="30" s="1"/>
  <c r="J12" i="30" s="1"/>
  <c r="J13" i="30" s="1"/>
  <c r="J14" i="30" s="1"/>
  <c r="J13" i="28"/>
  <c r="J14" i="28" s="1"/>
  <c r="E21" i="6"/>
  <c r="E14" i="19"/>
  <c r="G15" i="19"/>
  <c r="E15" i="6"/>
  <c r="J26" i="19"/>
  <c r="A26" i="19"/>
  <c r="K16" i="19"/>
  <c r="K15" i="19"/>
  <c r="F15" i="19"/>
  <c r="C13" i="19"/>
  <c r="F13" i="19" s="1"/>
  <c r="G12" i="19"/>
  <c r="C12" i="19"/>
  <c r="F12" i="19" s="1"/>
  <c r="H12" i="19" s="1"/>
  <c r="C11" i="19"/>
  <c r="F11" i="19" s="1"/>
  <c r="C10" i="19"/>
  <c r="F10" i="19" s="1"/>
  <c r="K9" i="19"/>
  <c r="J13" i="19"/>
  <c r="K13" i="19" s="1"/>
  <c r="C9" i="19"/>
  <c r="E21" i="19" s="1"/>
  <c r="E16" i="5"/>
  <c r="C16" i="5" s="1"/>
  <c r="F16" i="5" s="1"/>
  <c r="H16" i="5" s="1"/>
  <c r="E23" i="5"/>
  <c r="H42" i="3"/>
  <c r="I43" i="3"/>
  <c r="I42" i="3"/>
  <c r="M15" i="6" l="1"/>
  <c r="N15" i="6" s="1"/>
  <c r="C15" i="6"/>
  <c r="F15" i="6" s="1"/>
  <c r="G24" i="32"/>
  <c r="D10" i="5"/>
  <c r="D11" i="5" s="1"/>
  <c r="D12" i="5" s="1"/>
  <c r="D13" i="5" s="1"/>
  <c r="D14" i="5" s="1"/>
  <c r="E22" i="19"/>
  <c r="H22" i="19" s="1"/>
  <c r="E22" i="6"/>
  <c r="E20" i="6" s="1"/>
  <c r="H21" i="19"/>
  <c r="K14" i="19"/>
  <c r="H15" i="19"/>
  <c r="H14" i="19" s="1"/>
  <c r="F9" i="19"/>
  <c r="K20" i="19"/>
  <c r="J10" i="19"/>
  <c r="K10" i="19" s="1"/>
  <c r="J11" i="19"/>
  <c r="K11" i="19" s="1"/>
  <c r="H50" i="3"/>
  <c r="H46" i="3"/>
  <c r="H45" i="3"/>
  <c r="H44" i="3"/>
  <c r="H43" i="3"/>
  <c r="H34" i="3"/>
  <c r="M33" i="3"/>
  <c r="G50" i="3"/>
  <c r="G46" i="3"/>
  <c r="G45" i="3"/>
  <c r="G44" i="3"/>
  <c r="G43" i="3"/>
  <c r="G42" i="3"/>
  <c r="C52" i="3"/>
  <c r="F43" i="3"/>
  <c r="F44" i="3"/>
  <c r="F45" i="3"/>
  <c r="E43" i="3"/>
  <c r="D43" i="3"/>
  <c r="C43" i="3"/>
  <c r="E44" i="3"/>
  <c r="E42" i="3"/>
  <c r="D9" i="6" l="1"/>
  <c r="N18" i="29"/>
  <c r="H20" i="19"/>
  <c r="E20" i="19"/>
  <c r="D9" i="19"/>
  <c r="K23" i="19"/>
  <c r="G9" i="6" l="1"/>
  <c r="D10" i="6"/>
  <c r="C9" i="6"/>
  <c r="F9" i="6" s="1"/>
  <c r="M10" i="30"/>
  <c r="M10" i="29"/>
  <c r="D13" i="19"/>
  <c r="D10" i="19"/>
  <c r="E9" i="19"/>
  <c r="D11" i="19"/>
  <c r="O15" i="5"/>
  <c r="M16" i="5" s="1"/>
  <c r="F46" i="3"/>
  <c r="F50" i="3"/>
  <c r="E23" i="19" l="1"/>
  <c r="H9" i="6"/>
  <c r="G10" i="6"/>
  <c r="D11" i="6"/>
  <c r="C10" i="6"/>
  <c r="F10" i="6" s="1"/>
  <c r="E13" i="19"/>
  <c r="G13" i="19"/>
  <c r="H13" i="19" s="1"/>
  <c r="E11" i="19"/>
  <c r="G11" i="19"/>
  <c r="H11" i="19" s="1"/>
  <c r="E10" i="19"/>
  <c r="G10" i="19"/>
  <c r="K15" i="5"/>
  <c r="G11" i="6" l="1"/>
  <c r="D12" i="6"/>
  <c r="C11" i="6"/>
  <c r="F11" i="6" s="1"/>
  <c r="H10" i="19"/>
  <c r="G9" i="19"/>
  <c r="H9" i="19" s="1"/>
  <c r="H23" i="19" s="1"/>
  <c r="G49" i="15"/>
  <c r="E49" i="15"/>
  <c r="E43" i="15"/>
  <c r="E44" i="15" s="1"/>
  <c r="G42" i="15"/>
  <c r="G43" i="15" s="1"/>
  <c r="G39" i="15"/>
  <c r="G38" i="15"/>
  <c r="G37" i="15"/>
  <c r="G36" i="15"/>
  <c r="G35" i="15"/>
  <c r="G40" i="15" s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33" i="15" s="1"/>
  <c r="G44" i="15" s="1"/>
  <c r="G11" i="15"/>
  <c r="G10" i="15"/>
  <c r="G10" i="14"/>
  <c r="I48" i="13"/>
  <c r="G48" i="13"/>
  <c r="F48" i="13"/>
  <c r="E48" i="13"/>
  <c r="K47" i="13"/>
  <c r="J47" i="13"/>
  <c r="K46" i="13"/>
  <c r="J46" i="13"/>
  <c r="K45" i="13"/>
  <c r="J45" i="13"/>
  <c r="K44" i="13"/>
  <c r="K48" i="13" s="1"/>
  <c r="J44" i="13"/>
  <c r="J48" i="13" s="1"/>
  <c r="K43" i="13"/>
  <c r="J43" i="13"/>
  <c r="F42" i="13"/>
  <c r="E42" i="13"/>
  <c r="J41" i="13"/>
  <c r="G41" i="13"/>
  <c r="G42" i="13" s="1"/>
  <c r="I42" i="13" s="1"/>
  <c r="K40" i="13"/>
  <c r="J40" i="13"/>
  <c r="K39" i="13"/>
  <c r="J39" i="13"/>
  <c r="K38" i="13"/>
  <c r="J38" i="13"/>
  <c r="K37" i="13"/>
  <c r="J37" i="13"/>
  <c r="K36" i="13"/>
  <c r="J36" i="13"/>
  <c r="K35" i="13"/>
  <c r="J35" i="13"/>
  <c r="J42" i="13" s="1"/>
  <c r="K34" i="13"/>
  <c r="J34" i="13"/>
  <c r="G34" i="13"/>
  <c r="I34" i="13" s="1"/>
  <c r="F34" i="13"/>
  <c r="E34" i="13"/>
  <c r="I28" i="13"/>
  <c r="G28" i="13"/>
  <c r="F28" i="13"/>
  <c r="E28" i="13"/>
  <c r="K27" i="13"/>
  <c r="J27" i="13"/>
  <c r="K26" i="13"/>
  <c r="J26" i="13"/>
  <c r="K25" i="13"/>
  <c r="J25" i="13"/>
  <c r="K24" i="13"/>
  <c r="J24" i="13"/>
  <c r="K23" i="13"/>
  <c r="J23" i="13"/>
  <c r="K22" i="13"/>
  <c r="K28" i="13" s="1"/>
  <c r="J22" i="13"/>
  <c r="J28" i="13" s="1"/>
  <c r="F21" i="13"/>
  <c r="E21" i="13"/>
  <c r="J20" i="13"/>
  <c r="G20" i="13"/>
  <c r="G21" i="13" s="1"/>
  <c r="D20" i="13"/>
  <c r="K19" i="13"/>
  <c r="J19" i="13"/>
  <c r="I19" i="13"/>
  <c r="K18" i="13"/>
  <c r="J18" i="13"/>
  <c r="I18" i="13"/>
  <c r="J17" i="13"/>
  <c r="I17" i="13"/>
  <c r="K17" i="13" s="1"/>
  <c r="J16" i="13"/>
  <c r="I16" i="13"/>
  <c r="K16" i="13" s="1"/>
  <c r="K15" i="13"/>
  <c r="J15" i="13"/>
  <c r="J21" i="13" s="1"/>
  <c r="I15" i="13"/>
  <c r="E14" i="13"/>
  <c r="E49" i="13" s="1"/>
  <c r="J13" i="13"/>
  <c r="F13" i="13"/>
  <c r="I13" i="13" s="1"/>
  <c r="K13" i="13" s="1"/>
  <c r="J12" i="13"/>
  <c r="F12" i="13"/>
  <c r="I12" i="13" s="1"/>
  <c r="K12" i="13" s="1"/>
  <c r="J11" i="13"/>
  <c r="I11" i="13"/>
  <c r="K11" i="13" s="1"/>
  <c r="K10" i="13"/>
  <c r="J10" i="13"/>
  <c r="I10" i="13"/>
  <c r="K9" i="13"/>
  <c r="J9" i="13"/>
  <c r="J14" i="13" s="1"/>
  <c r="J49" i="13" s="1"/>
  <c r="I9" i="13"/>
  <c r="J8" i="13"/>
  <c r="I8" i="13"/>
  <c r="K8" i="13" s="1"/>
  <c r="J7" i="13"/>
  <c r="G7" i="13"/>
  <c r="F7" i="13"/>
  <c r="J11" i="5"/>
  <c r="J12" i="5" s="1"/>
  <c r="J13" i="5" s="1"/>
  <c r="K16" i="6"/>
  <c r="K14" i="6" s="1"/>
  <c r="D13" i="6" l="1"/>
  <c r="G12" i="6"/>
  <c r="C12" i="6"/>
  <c r="I7" i="13"/>
  <c r="I14" i="13" s="1"/>
  <c r="I20" i="13"/>
  <c r="K20" i="13" s="1"/>
  <c r="K21" i="13" s="1"/>
  <c r="F14" i="13"/>
  <c r="F49" i="13" s="1"/>
  <c r="I41" i="13"/>
  <c r="K41" i="13" s="1"/>
  <c r="K42" i="13" s="1"/>
  <c r="G14" i="13"/>
  <c r="G49" i="13" s="1"/>
  <c r="J14" i="5"/>
  <c r="K7" i="13" l="1"/>
  <c r="K14" i="13" s="1"/>
  <c r="K49" i="13" s="1"/>
  <c r="F12" i="6"/>
  <c r="I12" i="6"/>
  <c r="G13" i="6"/>
  <c r="C13" i="6"/>
  <c r="F13" i="6" s="1"/>
  <c r="I21" i="13"/>
  <c r="I49" i="13" s="1"/>
  <c r="K21" i="5"/>
  <c r="K24" i="5" s="1"/>
  <c r="I13" i="27" l="1"/>
  <c r="K13" i="27" s="1"/>
  <c r="I13" i="5"/>
  <c r="K13" i="5" s="1"/>
  <c r="I13" i="29"/>
  <c r="K13" i="29" s="1"/>
  <c r="I13" i="28"/>
  <c r="K13" i="28" s="1"/>
  <c r="I13" i="30"/>
  <c r="K13" i="30" s="1"/>
  <c r="F42" i="3"/>
  <c r="J13" i="6" l="1"/>
  <c r="K13" i="6" s="1"/>
  <c r="J11" i="6"/>
  <c r="J10" i="6"/>
  <c r="E13" i="5" l="1"/>
  <c r="K38" i="3"/>
  <c r="J38" i="3"/>
  <c r="G38" i="3"/>
  <c r="H38" i="3" s="1"/>
  <c r="G34" i="3"/>
  <c r="E34" i="3"/>
  <c r="F34" i="3" s="1"/>
  <c r="H22" i="6" l="1"/>
  <c r="H21" i="6"/>
  <c r="K21" i="6" s="1"/>
  <c r="K20" i="6" s="1"/>
  <c r="G15" i="6"/>
  <c r="G14" i="5"/>
  <c r="G13" i="5"/>
  <c r="G12" i="5"/>
  <c r="E12" i="5"/>
  <c r="G11" i="5"/>
  <c r="G10" i="5" s="1"/>
  <c r="E11" i="5"/>
  <c r="E10" i="5"/>
  <c r="K56" i="3"/>
  <c r="A56" i="3"/>
  <c r="D39" i="2"/>
  <c r="D44" i="2"/>
  <c r="F37" i="2"/>
  <c r="F38" i="2" s="1"/>
  <c r="I38" i="3" s="1"/>
  <c r="D38" i="2"/>
  <c r="F31" i="2"/>
  <c r="F32" i="2"/>
  <c r="F33" i="2"/>
  <c r="F34" i="2"/>
  <c r="F30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5" i="2"/>
  <c r="F44" i="2"/>
  <c r="F45" i="1"/>
  <c r="F36" i="1"/>
  <c r="F27" i="1"/>
  <c r="K23" i="6" l="1"/>
  <c r="H11" i="6"/>
  <c r="M10" i="5"/>
  <c r="H20" i="6"/>
  <c r="H13" i="6"/>
  <c r="H10" i="6"/>
  <c r="J26" i="6"/>
  <c r="A26" i="6"/>
  <c r="H11" i="5"/>
  <c r="H13" i="5"/>
  <c r="E14" i="6"/>
  <c r="H15" i="6"/>
  <c r="A29" i="5"/>
  <c r="H12" i="6"/>
  <c r="H23" i="5"/>
  <c r="E15" i="5"/>
  <c r="E14" i="5"/>
  <c r="H14" i="5"/>
  <c r="H12" i="5"/>
  <c r="H10" i="5"/>
  <c r="F28" i="2"/>
  <c r="F39" i="2" s="1"/>
  <c r="F35" i="2"/>
  <c r="I34" i="3" s="1"/>
  <c r="F47" i="1"/>
  <c r="E23" i="6" l="1"/>
  <c r="E22" i="5"/>
  <c r="H22" i="5" s="1"/>
  <c r="H21" i="5" s="1"/>
  <c r="H15" i="5"/>
  <c r="H14" i="6"/>
  <c r="H23" i="6" s="1"/>
  <c r="E21" i="5" l="1"/>
  <c r="E24" i="5" s="1"/>
  <c r="H24" i="5"/>
  <c r="H22" i="32" l="1"/>
</calcChain>
</file>

<file path=xl/sharedStrings.xml><?xml version="1.0" encoding="utf-8"?>
<sst xmlns="http://schemas.openxmlformats.org/spreadsheetml/2006/main" count="1562" uniqueCount="386">
  <si>
    <t>Строительство ООО "Трансэнерго" ВЛЭП-0,4 кВ; 6 кВ заявителям на технологическое присоединение за 2016 г.</t>
  </si>
  <si>
    <t>Заявители мощностью до 15 кВт</t>
  </si>
  <si>
    <t>П/П</t>
  </si>
  <si>
    <t>№ Договора, дата заключения на технологическое присоединение</t>
  </si>
  <si>
    <t>Адрес; месторасположение ВЛЭП</t>
  </si>
  <si>
    <t>Длина ВЛЭП (км)</t>
  </si>
  <si>
    <t>Установленная тарифная ставка (руб/км)</t>
  </si>
  <si>
    <t>Стоимость ВЛЭП без НДС (руб)</t>
  </si>
  <si>
    <t>3 /  26.01.2016</t>
  </si>
  <si>
    <t>ВЛ-0,4 кВ от КТП-139 по ул. Малеевка, д. 12</t>
  </si>
  <si>
    <t>5 /  27.01.2016</t>
  </si>
  <si>
    <t>ВЛ-0,4 кВ от КТП-139 по пер. Каретный, д. 2</t>
  </si>
  <si>
    <t>12 /  20.01.2016</t>
  </si>
  <si>
    <t>ВЛ-0,4 кВ от КТП-139 по ул. Амурская, д. 29</t>
  </si>
  <si>
    <t>15 /  26.01.2016</t>
  </si>
  <si>
    <t>ВЛ-0,4 кВ от КТП-139 по пер. Каретный, д. 3</t>
  </si>
  <si>
    <t>18 /  10.02.2016</t>
  </si>
  <si>
    <t>ВЛ-0,4 кВ от КТП-44 ориентир по ул. Таймырская, д. 13</t>
  </si>
  <si>
    <t>L = 0,09</t>
  </si>
  <si>
    <t>25 /  02.03.2016</t>
  </si>
  <si>
    <t>ВЛ-0,4 кВ от КТП-139 по пер. Малый, д. 6</t>
  </si>
  <si>
    <t>62 /  19.08.2016</t>
  </si>
  <si>
    <t>ВЛ-0,22 кВ от ТП-48 по ул. Заводская падь, д. 32</t>
  </si>
  <si>
    <t>L = 0,035</t>
  </si>
  <si>
    <t>64 /  25.08.2016</t>
  </si>
  <si>
    <t>ВЛ-0,4 кВ от КТП-38 по пер. Тигровый, д. 4</t>
  </si>
  <si>
    <t>66 /  18.12.2015</t>
  </si>
  <si>
    <t>ВЛ-0,4 кВ от ТП-53  по ул. Авроры, д. 14 А</t>
  </si>
  <si>
    <t>75 /  31.08.2015</t>
  </si>
  <si>
    <t>ВЛ-0,4 кВ от КТП-46  по ул. Голубкова, д. 38</t>
  </si>
  <si>
    <t>80 /  10.06.2016</t>
  </si>
  <si>
    <t>ВЛ-0,4 кВ от КТП-51  по ул. Железнякова, д. 11</t>
  </si>
  <si>
    <t>81 /  14.06.2016</t>
  </si>
  <si>
    <t>ВЛ-0,4 кВ от КТП-59 по ул. Голубкова, кад № 270</t>
  </si>
  <si>
    <t>82 /  14.06.2016</t>
  </si>
  <si>
    <t>ВЛ-0,4 кВ от КТП-59 по ул. Голубкова, кад № 273</t>
  </si>
  <si>
    <t>91 /  08.07.2016</t>
  </si>
  <si>
    <t>ВЛ-0,22 кВ от КТП-32 по ул. Лесная, д. 2, с. Воронежское-1</t>
  </si>
  <si>
    <t>95 /  27.07.2016</t>
  </si>
  <si>
    <t>ВЛ-0,4 кВ от КТП-5  по пер. Матросский, д. 3 А</t>
  </si>
  <si>
    <t>97 /  09.09.2016</t>
  </si>
  <si>
    <t>ВЛ-0,4 кВ от КТП-139 по ул. Каретная, д. 44</t>
  </si>
  <si>
    <t>100 /  31.08.2016</t>
  </si>
  <si>
    <t>ВЛ-0,4 кВ от РП-21  по ул. Обозной</t>
  </si>
  <si>
    <t>101 /  09.09.2016</t>
  </si>
  <si>
    <t>ВЛ-0,4 кВ от КТП-139 по ул. Каретная, д. 41</t>
  </si>
  <si>
    <t>132 /  10.11.2016</t>
  </si>
  <si>
    <t>ВЛ-0,4 кВ от КТП-139 по ул. Эстрадная, д. 9</t>
  </si>
  <si>
    <t>142 /  13.01.2016</t>
  </si>
  <si>
    <t>ВЛ-0,4 кВ от КТП-139 по ул. Каретная, д. 17</t>
  </si>
  <si>
    <t>143 /  13.01.2016</t>
  </si>
  <si>
    <t>ВЛ-0,4 кВ от КТП-139 по ул. Амурская, д. 11</t>
  </si>
  <si>
    <t>L = 0,085</t>
  </si>
  <si>
    <t>143 /  02.12.2016</t>
  </si>
  <si>
    <t>ВЛ-0,4 кВ от КТП-32 по ул. Пионерская, кад № 649</t>
  </si>
  <si>
    <t>ИТОГО</t>
  </si>
  <si>
    <t>Заявители мощностью свыше 15 кВт до 150 кВт включительно</t>
  </si>
  <si>
    <t>6 /  19.01.2016</t>
  </si>
  <si>
    <t>ВЛ-0,4 кВ от КТП-59 по пер. Гранитный, д. 10</t>
  </si>
  <si>
    <t>69 /  29.09.2016</t>
  </si>
  <si>
    <t>107 /  20.09.2016</t>
  </si>
  <si>
    <t>ВЛ-0,4 кВ от КТП-38 по пер. Архитектурный, кад № 25</t>
  </si>
  <si>
    <t>116 /  22.09.2016</t>
  </si>
  <si>
    <t>ВЛ-0,4 кВ от КТП-59 по пер. Беговой, д. 2</t>
  </si>
  <si>
    <t>Инвестиционная программа за 2016 г.</t>
  </si>
  <si>
    <t>КЛ-6 кВ от ЦРП-179 СРЗ до ул. Рабочая падь</t>
  </si>
  <si>
    <t>L = 0,8</t>
  </si>
  <si>
    <t>Ячейка КСО-366-3шт. в РУ-6 кВ ЦРП-179 СРЗ</t>
  </si>
  <si>
    <t>ВСЕГО</t>
  </si>
  <si>
    <t>L = 4,6543</t>
  </si>
  <si>
    <t>151 /  13.01.2016</t>
  </si>
  <si>
    <t>ВЛ-0,4 кВ от КТП-139 по ул. Каретная, д. 10</t>
  </si>
  <si>
    <t>139 /  28.11.2016</t>
  </si>
  <si>
    <t>ВЛ-0,4 кВ от КТП-46 по по ул. Голубкова.</t>
  </si>
  <si>
    <t>Заявители мощностью свыше 15 кВт до 150 кВт включительно по 6 кВ</t>
  </si>
  <si>
    <t>76 /  29.09.2016</t>
  </si>
  <si>
    <t>ж/б опоры шт.</t>
  </si>
  <si>
    <t>ААБ 3х240</t>
  </si>
  <si>
    <t xml:space="preserve">L = 0,0995 </t>
  </si>
  <si>
    <t>L = 0,0945</t>
  </si>
  <si>
    <t>L = 0,06</t>
  </si>
  <si>
    <t xml:space="preserve">L = 0,106 </t>
  </si>
  <si>
    <t>L = 0,045</t>
  </si>
  <si>
    <t>L = 0,08</t>
  </si>
  <si>
    <t>L = 0,0175</t>
  </si>
  <si>
    <t>L = 0,04</t>
  </si>
  <si>
    <t>L = 0,0675</t>
  </si>
  <si>
    <t>L = 0,0545</t>
  </si>
  <si>
    <t>L = 0,22</t>
  </si>
  <si>
    <t>L = 0,015</t>
  </si>
  <si>
    <t>L = 0,075</t>
  </si>
  <si>
    <t>L = 0,072</t>
  </si>
  <si>
    <t>L = 0,0425</t>
  </si>
  <si>
    <t>L = 0,125</t>
  </si>
  <si>
    <t>L = 0,0785</t>
  </si>
  <si>
    <t>L = 1,67</t>
  </si>
  <si>
    <t>L = 0,115</t>
  </si>
  <si>
    <t>L = 0,0725</t>
  </si>
  <si>
    <t>L = 0,4075</t>
  </si>
  <si>
    <t>ВЛ-6 кВ от ТП-32 по С.Ворнежское-2</t>
  </si>
  <si>
    <t>ВЛ-0,4 кВ от КТП-59 по пер. Каменный, д. 10</t>
  </si>
  <si>
    <t>Длина ВЛЭП (км)
L</t>
  </si>
  <si>
    <t>2013 год (с учетом НДС)</t>
  </si>
  <si>
    <t>до 15</t>
  </si>
  <si>
    <t> 81</t>
  </si>
  <si>
    <t>1215 </t>
  </si>
  <si>
    <t> 1215</t>
  </si>
  <si>
    <t> 44,55</t>
  </si>
  <si>
    <t>от 15 до 150</t>
  </si>
  <si>
    <t> 44</t>
  </si>
  <si>
    <t> 910</t>
  </si>
  <si>
    <t> 175,179</t>
  </si>
  <si>
    <t>от 150 до 670</t>
  </si>
  <si>
    <t> 1</t>
  </si>
  <si>
    <t> 630</t>
  </si>
  <si>
    <t> 35,259</t>
  </si>
  <si>
    <t>свыше 670</t>
  </si>
  <si>
    <t>2014 год (без учета НДС)</t>
  </si>
  <si>
    <t> 52</t>
  </si>
  <si>
    <t>52 </t>
  </si>
  <si>
    <t> 780</t>
  </si>
  <si>
    <t> 24,24</t>
  </si>
  <si>
    <t> 34</t>
  </si>
  <si>
    <t> 1163</t>
  </si>
  <si>
    <t> 185,0</t>
  </si>
  <si>
    <t>7 </t>
  </si>
  <si>
    <t> 90,7</t>
  </si>
  <si>
    <t>2015 год (без учета НДС)</t>
  </si>
  <si>
    <t> 48</t>
  </si>
  <si>
    <t> 672,0</t>
  </si>
  <si>
    <t> 42</t>
  </si>
  <si>
    <t>7.1.</t>
  </si>
  <si>
    <t>7.2.</t>
  </si>
  <si>
    <t>2016 год (без учета НДС)</t>
  </si>
  <si>
    <t>6-10</t>
  </si>
  <si>
    <t>N п/п</t>
  </si>
  <si>
    <t>Показатели</t>
  </si>
  <si>
    <t>1.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</si>
  <si>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</si>
  <si>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</si>
  <si>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</si>
  <si>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</si>
  <si>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</si>
  <si>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</si>
  <si>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</si>
  <si>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</si>
  <si>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2.</t>
  </si>
  <si>
    <t>х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</si>
  <si>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</si>
  <si>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</si>
  <si>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</si>
  <si>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</si>
  <si>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</si>
  <si>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</si>
  <si>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</si>
  <si>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</si>
  <si>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</si>
  <si>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</si>
  <si>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</t>
  </si>
  <si>
    <t>3.1.</t>
  </si>
  <si>
    <t>Размер платы за технологическое присоединение (руб. без НДС)</t>
  </si>
  <si>
    <t>3.2.</t>
  </si>
  <si>
    <t>4.</t>
  </si>
  <si>
    <t>Приложение 1 к Методическим указаниям</t>
  </si>
  <si>
    <t>№
П/П</t>
  </si>
  <si>
    <t>Директор ООО "Трансэнерго"</t>
  </si>
  <si>
    <t>Самохин С.М.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</si>
  <si>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12"/>
        <color rgb="FF000000"/>
        <rFont val="Times New Roman"/>
        <family val="1"/>
        <charset val="204"/>
      </rPr>
      <t>п.1.1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п.1.2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п.1.3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п.1.4</t>
    </r>
    <r>
      <rPr>
        <sz val="12"/>
        <color theme="1"/>
        <rFont val="Times New Roman"/>
        <family val="1"/>
        <charset val="204"/>
      </rPr>
      <t>]:</t>
    </r>
  </si>
  <si>
    <r>
      <t>Расходы по мероприятиям "последней мили", связанные с осуществлением технологического присоединения [</t>
    </r>
    <r>
      <rPr>
        <sz val="12"/>
        <color rgb="FF000000"/>
        <rFont val="Times New Roman"/>
        <family val="1"/>
        <charset val="204"/>
      </rPr>
      <t>п.2.1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п.2.2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п.2.3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п.2.4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2.5</t>
    </r>
    <r>
      <rPr>
        <sz val="12"/>
        <color theme="1"/>
        <rFont val="Times New Roman"/>
        <family val="1"/>
        <charset val="204"/>
      </rPr>
      <t>]:</t>
    </r>
  </si>
  <si>
    <r>
      <t>Суммарный размер платы за технологическое присоединение [</t>
    </r>
    <r>
      <rPr>
        <sz val="12"/>
        <color rgb="FF000000"/>
        <rFont val="Times New Roman"/>
        <family val="1"/>
        <charset val="204"/>
      </rPr>
      <t>п.3.1</t>
    </r>
    <r>
      <rPr>
        <sz val="12"/>
        <color theme="1"/>
        <rFont val="Times New Roman"/>
        <family val="1"/>
        <charset val="204"/>
      </rPr>
      <t xml:space="preserve"> * </t>
    </r>
    <r>
      <rPr>
        <sz val="12"/>
        <color rgb="FF000000"/>
        <rFont val="Times New Roman"/>
        <family val="1"/>
        <charset val="204"/>
      </rPr>
      <t>п.3.2</t>
    </r>
    <r>
      <rPr>
        <sz val="12"/>
        <color theme="1"/>
        <rFont val="Times New Roman"/>
        <family val="1"/>
        <charset val="204"/>
      </rPr>
      <t xml:space="preserve"> / 1000]:</t>
    </r>
  </si>
  <si>
    <r>
      <t xml:space="preserve"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</t>
    </r>
    <r>
      <rPr>
        <sz val="12"/>
        <color rgb="FF000000"/>
        <rFont val="Times New Roman"/>
        <family val="1"/>
        <charset val="204"/>
      </rPr>
      <t>п. 18</t>
    </r>
    <r>
      <rPr>
        <sz val="12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</t>
    </r>
    <r>
      <rPr>
        <sz val="12"/>
        <color rgb="FF000000"/>
        <rFont val="Times New Roman"/>
        <family val="1"/>
        <charset val="204"/>
      </rPr>
      <t>приказом</t>
    </r>
    <r>
      <rPr>
        <sz val="12"/>
        <color theme="1"/>
        <rFont val="Times New Roman"/>
        <family val="1"/>
        <charset val="204"/>
      </rPr>
      <t xml:space="preserve"> ФСТ России от 11 сентября 2012 года, N 209-э/1) (шт.)</t>
    </r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</si>
  <si>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2"/>
        <color rgb="FF000000"/>
        <rFont val="Times New Roman"/>
        <family val="1"/>
        <charset val="204"/>
      </rPr>
      <t>п.1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00"/>
        <rFont val="Times New Roman"/>
        <family val="1"/>
        <charset val="204"/>
      </rPr>
      <t>п.2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00"/>
        <rFont val="Times New Roman"/>
        <family val="1"/>
        <charset val="204"/>
      </rPr>
      <t>п.3</t>
    </r>
    <r>
      <rPr>
        <sz val="12"/>
        <color theme="1"/>
        <rFont val="Times New Roman"/>
        <family val="1"/>
        <charset val="204"/>
      </rPr>
      <t>)</t>
    </r>
  </si>
  <si>
    <t>Сумма (в соответствии с актами приемки выполненных работ)
(тыс. руб.)</t>
  </si>
  <si>
    <t>Ставка платы
(руб./кВт, руб./км)</t>
  </si>
  <si>
    <t>Мощность, длина линий
(кВт, км)</t>
  </si>
  <si>
    <t>Стандарт. тариф, ставка
(руб./кВт, руб./км)</t>
  </si>
  <si>
    <t>Сумма
(тыс. руб.)</t>
  </si>
  <si>
    <t>Стандарт, тариф. Ставка
(руб./кВт, руб./км)</t>
  </si>
  <si>
    <t>Сумма
(тыс, руб.)</t>
  </si>
  <si>
    <t> 945</t>
  </si>
  <si>
    <t>-</t>
  </si>
  <si>
    <t xml:space="preserve"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 </t>
  </si>
  <si>
    <t xml:space="preserve"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(6кВ) включительно, 
не включаемых в состав платы за технологическое присоединение </t>
  </si>
  <si>
    <t>Приложение 3 к Методическим указаниям</t>
  </si>
  <si>
    <t xml:space="preserve">Уровень напряжения,
кВ </t>
  </si>
  <si>
    <t xml:space="preserve">Диапазон мощностей,
кВт </t>
  </si>
  <si>
    <t xml:space="preserve">Ко-во заключен-ных договоров
(шт.) </t>
  </si>
  <si>
    <t xml:space="preserve">Ко-во присоединений в отчетном году
(шт.) </t>
  </si>
  <si>
    <t>Объем запрашиваемой максимальной мощности энергопринимающих устройств Заявителями
по договорам технологического присоединения
(кВт)</t>
  </si>
  <si>
    <t>Объем
максимальной мощности энергопринимающих устройств Заявителей в соответствии с актами об осуществлении технологического присоединения
(кВт)</t>
  </si>
  <si>
    <t>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присоединения,
(тыс. руб.)</t>
  </si>
  <si>
    <t>Сумма расходов на  мероприятия технологического присоединения оплачиваемые заявителем (расходы на заключение договоров),
(тыс. руб.)</t>
  </si>
  <si>
    <t>Сумма расходов на строительство объектов электросетевого хозяйства (ВЛ, КЛ, КТПН и пр.)
(тыс. руб.)</t>
  </si>
  <si>
    <t>Выручка сетевой организации 
от оказания услуг по технологическому присоединению в соответствии с актами выполненных работ
(тыс. руб.)</t>
  </si>
  <si>
    <t>Выручка сетевой организации от оказания услуг по технологическому присоединению в соответствии с данными бухгалтерского учета
(тыс. руб.)</t>
  </si>
  <si>
    <t>№ п/п</t>
  </si>
  <si>
    <t>за 2014 год</t>
  </si>
  <si>
    <t>….</t>
  </si>
  <si>
    <t>за 2015 год</t>
  </si>
  <si>
    <t>за 2016 год</t>
  </si>
  <si>
    <t>Строительство ООО "Трансэнерго" ВЛЭП-0,4 кВ; 6 кВ заявителям на технологическое присоединение за 2014 -2016 гг.</t>
  </si>
  <si>
    <t>Кутин А.Н</t>
  </si>
  <si>
    <t>№ договора</t>
  </si>
  <si>
    <t>Наименование заявителя.</t>
  </si>
  <si>
    <t>Объём запрашиваемой максимальной мощности энергопринимающих устройств заявителями по договорам технологического присоединения (кВт)</t>
  </si>
  <si>
    <t>Тип объекта (ВЛ/КЛ)</t>
  </si>
  <si>
    <t>Марка, сечение провода.</t>
  </si>
  <si>
    <t>Длина, км.</t>
  </si>
  <si>
    <t xml:space="preserve">Петриченко Т.К. ул. Немировича-Данченко, д. </t>
  </si>
  <si>
    <t>ВЛ-0,4 кВ</t>
  </si>
  <si>
    <t>СИП 4х35</t>
  </si>
  <si>
    <t>Сухарева Е.А. ул. Эстрадная, кад. № 27:23:0000000:28253</t>
  </si>
  <si>
    <t>СИП 4Х70</t>
  </si>
  <si>
    <t>Белозёров А.Г. ул. Каретная, кад. № 27:23:0010204:227</t>
  </si>
  <si>
    <t>СИП 4х16</t>
  </si>
  <si>
    <t>Ван А.П. ул. Булатная, 15</t>
  </si>
  <si>
    <t>5.</t>
  </si>
  <si>
    <t>Макарова Ю.А. пер. Матросский, д. 1А</t>
  </si>
  <si>
    <t>6.</t>
  </si>
  <si>
    <t>Мостовая Е.В. ул. Концертная, д. 32</t>
  </si>
  <si>
    <t>7.</t>
  </si>
  <si>
    <t>Кошкин Н.С. ул. Связная, кад. № 27:23:0010225:600</t>
  </si>
  <si>
    <t>СИП 4х70</t>
  </si>
  <si>
    <t>Данные о строительстве распределительной сети 0,4-10 Кв для осуществления технологического  присоединения энергопринимающих устройств потребителей к электрическим сетям ООО "Трансэнерго"</t>
  </si>
  <si>
    <t>Категория потребителей на уровне напряжения ниже 35кВ</t>
  </si>
  <si>
    <t>Наименование
объектов</t>
  </si>
  <si>
    <t>Ед.
измер.</t>
  </si>
  <si>
    <t>Цена</t>
  </si>
  <si>
    <t>Длина ВЛЭП (КЛЭП), км</t>
  </si>
  <si>
    <t>Стоимость стр-ва  
всего, руб.</t>
  </si>
  <si>
    <t>за ед., руб.*</t>
  </si>
  <si>
    <t>ПЛАН
 в расчетах на 2018 г.</t>
  </si>
  <si>
    <t>ФАКТ 2017 г.</t>
  </si>
  <si>
    <t>ФАКТ 2016 г.</t>
  </si>
  <si>
    <t xml:space="preserve">Среднее фактч.
2 периода </t>
  </si>
  <si>
    <t>Среднее фактч.
2 периода</t>
  </si>
  <si>
    <t>0,4 кВ
До 15 кВт включительно</t>
  </si>
  <si>
    <t>ВЛ-0,4 кВ 4*16</t>
  </si>
  <si>
    <t>км</t>
  </si>
  <si>
    <t>КЛ-0,4 кВ 4*50</t>
  </si>
  <si>
    <t xml:space="preserve"> ТП-25 кВА</t>
  </si>
  <si>
    <t>шт</t>
  </si>
  <si>
    <t>ВЛ-10 кВ 1*35</t>
  </si>
  <si>
    <t>КЛ-10 кВ 3*50</t>
  </si>
  <si>
    <t>ВЛ-0,4 кВ 4*35</t>
  </si>
  <si>
    <t>ВЛ-0,4 кВ 4*70</t>
  </si>
  <si>
    <t>0,4 кВ
Свыше 15 и до 150 кВт включительно</t>
  </si>
  <si>
    <t>КЛ-0,4 кВ 4*95</t>
  </si>
  <si>
    <t xml:space="preserve"> ТП-160 кВА</t>
  </si>
  <si>
    <t>КЛ-10 кВ 3*150</t>
  </si>
  <si>
    <t>0,4 кВ
Свыше 150 и менее 670 кВт</t>
  </si>
  <si>
    <t>ВЛ-0,4 кВ 3*95</t>
  </si>
  <si>
    <t>КЛ-0,4 кВ 4*240</t>
  </si>
  <si>
    <t>ТП-250 кВА</t>
  </si>
  <si>
    <t>ТП-400 кВА</t>
  </si>
  <si>
    <t>ВЛ-10 кВ 1*95</t>
  </si>
  <si>
    <t>10 кВ
До 150 кВт включительно</t>
  </si>
  <si>
    <t>КЛ-0,4 кВ</t>
  </si>
  <si>
    <t>10 кВ
Свыше 150 и менее 670 кВт</t>
  </si>
  <si>
    <t>ВЛ-6 кВ СИП 3 1*35</t>
  </si>
  <si>
    <t>10 кВ
Не менее 670 и менее 8900 кВт</t>
  </si>
  <si>
    <t>КЛ-10 кВ 3*185</t>
  </si>
  <si>
    <t>ОБЩИЙ ИТОГ</t>
  </si>
  <si>
    <t>* Единые стандартизированные тарифные ставки за технологическое присоединение (С2,С3,С4), определенные согласно Постановления Комитета по Ценам и Тарифам Правительства Хабаровского №45/1 от 14.12.2016г.</t>
  </si>
  <si>
    <t>** Индекс изменения сметной стоимости (Zизм. ст) по строительно-монтажным работам для Хабаровского края (в зависимости от объектов строительства), в котором располагаются существующие узловые подстанции, к которым предполагается технологическое присоединение устройств, на квартал, предшествующий кварталу, в котором утверждается плата за технологическое присоединение, к федеральным единичным расценкам 2001 года, рекомендуемого Министерством строительства и жилищно-коммунального хозяйства Российской Федерации в рамках реализации полномочий в области сметного нормирования и ценообразования в сфере градостроительной деятельности.</t>
  </si>
  <si>
    <t xml:space="preserve">  Информация о фактических технологических присоединениях ООО «Трансэнерго»  за 2015, 2016, 2017 годы </t>
  </si>
  <si>
    <t>2017 год (без учета НДС)</t>
  </si>
  <si>
    <t>до 01.10.2017г.</t>
  </si>
  <si>
    <t>с 01.10.2017г.</t>
  </si>
  <si>
    <t>повторное подключение</t>
  </si>
  <si>
    <t>Плановые показатели на следующий период регулирования 2019 год</t>
  </si>
  <si>
    <t>ООО «Трансэнерго» за 2017 год (без учета НДС)</t>
  </si>
  <si>
    <t xml:space="preserve">Фактические данные за предыдущий период регулирования 2017 год </t>
  </si>
  <si>
    <t>Расчетные (фактические) данные за предыдущий период регулирования 2017 год</t>
  </si>
  <si>
    <t>Плановые показатели на следующий период регулирования
на 2019 год</t>
  </si>
  <si>
    <t>факт 2017</t>
  </si>
  <si>
    <t>ООО «Трансэнерго» за 2017 год  (без учета НДС)</t>
  </si>
  <si>
    <r>
      <t xml:space="preserve">Расчет 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 </t>
    </r>
    <r>
      <rPr>
        <b/>
        <sz val="14"/>
        <rFont val="Times New Roman"/>
        <family val="1"/>
        <charset val="204"/>
      </rPr>
      <t>(льготное подключение)</t>
    </r>
    <r>
      <rPr>
        <b/>
        <sz val="14"/>
        <color theme="1"/>
        <rFont val="Times New Roman"/>
        <family val="1"/>
        <charset val="204"/>
      </rPr>
      <t xml:space="preserve">, 
не включаемых в состав платы за технологическое присоединение </t>
    </r>
  </si>
  <si>
    <r>
      <t xml:space="preserve">Расчет 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 </t>
    </r>
    <r>
      <rPr>
        <b/>
        <sz val="14"/>
        <rFont val="Times New Roman"/>
        <family val="1"/>
        <charset val="204"/>
      </rPr>
      <t>(повторное подключение)</t>
    </r>
    <r>
      <rPr>
        <b/>
        <sz val="14"/>
        <color theme="1"/>
        <rFont val="Times New Roman"/>
        <family val="1"/>
        <charset val="204"/>
      </rPr>
      <t xml:space="preserve">, 
не включаемых в состав платы за технологическое присоединение </t>
    </r>
  </si>
  <si>
    <t xml:space="preserve">Расходы на выполнение организационно-технических мероприятий, связанные с осуществлением технологического присоединения </t>
  </si>
  <si>
    <t>Расходы по мероприятиям "последней мили", связанные с осуществлением технологического присоединения</t>
  </si>
  <si>
    <t>2017 факт</t>
  </si>
  <si>
    <t>2019 план</t>
  </si>
  <si>
    <t>до 15 кВт</t>
  </si>
  <si>
    <t>от 15 до 150 (4кВ)</t>
  </si>
  <si>
    <t>от 15 до 150 (6кВ)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</si>
  <si>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</t>
  </si>
  <si>
    <t>Недополученный по независящим причинам доход по 87 Основ ценообразования (технологическое присоединение)</t>
  </si>
  <si>
    <t>в т.ч.:</t>
  </si>
  <si>
    <t>Предполагаемый размер выпадающих доходов, который примет КЦиТ :</t>
  </si>
  <si>
    <t>год</t>
  </si>
  <si>
    <t>Фамилия</t>
  </si>
  <si>
    <t>км по данным ПТО</t>
  </si>
  <si>
    <t xml:space="preserve">Терехов </t>
  </si>
  <si>
    <t>Шадрина</t>
  </si>
  <si>
    <t>Кордзаия</t>
  </si>
  <si>
    <t>Антипов</t>
  </si>
  <si>
    <t>Шмонин</t>
  </si>
  <si>
    <t>Ван</t>
  </si>
  <si>
    <t>Литвинов</t>
  </si>
  <si>
    <t>Чупрова</t>
  </si>
  <si>
    <t>Петриченко</t>
  </si>
  <si>
    <t>Сухарева</t>
  </si>
  <si>
    <t>Засухин</t>
  </si>
  <si>
    <t>Белозеров</t>
  </si>
  <si>
    <t>Байков</t>
  </si>
  <si>
    <t>Секунова</t>
  </si>
  <si>
    <t>Макарова</t>
  </si>
  <si>
    <t>Пшеничный</t>
  </si>
  <si>
    <t>Фомин</t>
  </si>
  <si>
    <t>Кошкин</t>
  </si>
  <si>
    <t>Петрунина</t>
  </si>
  <si>
    <t>Абдуллин</t>
  </si>
  <si>
    <t>от 15 до 150 кВт</t>
  </si>
  <si>
    <t>Макаров</t>
  </si>
  <si>
    <t>Паневников</t>
  </si>
  <si>
    <t>Водоканал</t>
  </si>
  <si>
    <t>Шишко</t>
  </si>
  <si>
    <t>Бузмакова</t>
  </si>
  <si>
    <t>СНТ Ветеран</t>
  </si>
  <si>
    <t>Изумрудный город</t>
  </si>
  <si>
    <t>Столица-Реал</t>
  </si>
  <si>
    <t>Местная религиозная...</t>
  </si>
  <si>
    <t>Вонарх</t>
  </si>
  <si>
    <t>ГМК 15</t>
  </si>
  <si>
    <t>150 кВт</t>
  </si>
  <si>
    <t>ЗАО "РЭЙС"</t>
  </si>
  <si>
    <t>МУП "РЭС"</t>
  </si>
  <si>
    <t>первоначально не было в расчетах</t>
  </si>
  <si>
    <t>не льготн</t>
  </si>
  <si>
    <t>льготн</t>
  </si>
  <si>
    <r>
      <t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</t>
    </r>
    <r>
      <rPr>
        <b/>
        <sz val="14"/>
        <color rgb="FFFF0000"/>
        <rFont val="Times New Roman"/>
        <family val="1"/>
        <charset val="204"/>
      </rPr>
      <t xml:space="preserve"> (льготное)</t>
    </r>
  </si>
  <si>
    <r>
      <t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</t>
    </r>
    <r>
      <rPr>
        <b/>
        <sz val="14"/>
        <color rgb="FFFF0000"/>
        <rFont val="Times New Roman"/>
        <family val="1"/>
        <charset val="204"/>
      </rPr>
      <t xml:space="preserve"> (повторное)</t>
    </r>
  </si>
  <si>
    <t>Строила линию сама за собственные ср-ва</t>
  </si>
  <si>
    <t>уменьшаем фактическую длину линии, чтобы 100% включить в выпадающие</t>
  </si>
  <si>
    <t>опора возле точки присоединен</t>
  </si>
  <si>
    <t>второе питание и А.Н. предлагает исключить км</t>
  </si>
  <si>
    <t>сам оплатил стр-во, свыше 300 м</t>
  </si>
  <si>
    <t>км для выпадающих</t>
  </si>
  <si>
    <t>км для УЕ</t>
  </si>
  <si>
    <t>ИТОГО км для УЕ</t>
  </si>
  <si>
    <t xml:space="preserve">До корректировки по договорам </t>
  </si>
  <si>
    <t>0,45 было</t>
  </si>
  <si>
    <t>Наименование документа</t>
  </si>
  <si>
    <t>Заявители с максимальной мощностью присоединяемых энергопринимающих устройств от 15 до 150 кВт</t>
  </si>
  <si>
    <t>Договор об осуществлении технологического присоединения к электрическим сетям № 34 от 17.03.2016 г., заключенный между ООО "Трансэнерго" и Гербек Д.И.</t>
  </si>
  <si>
    <t>Договор об осуществлении технологического присоединения к электрическим сетям № 49 от 08.04.2016 г., заключенный между ООО "Трансэнерго" и Макаровым Д.Н.</t>
  </si>
  <si>
    <t>Договор об осуществлении технологического присоединения к электрическим сетям № 55 от 14.07.2016 г., заключенный между ООО "Трансэнерго" и Буравовой Г.И.</t>
  </si>
  <si>
    <t>Договор об осуществлении технологического присоединения к электрическим сетям № 59 от 30.08.2016 г., заключенный между ООО "Трансэнерго" и Паневниковым Р. П.</t>
  </si>
  <si>
    <t>Договор об осуществлении технологического присоединения к электрическим сетям № 79 от 08.06.2016 г., заключенный между ООО "Трансэнерго" и Пономаревым А.Н.</t>
  </si>
  <si>
    <t>Договор об осуществлении технологического присоединения к электрическим сетям № 87 от 05.07.2016 г., заключенный между ООО "Трансэнерго" и Смирновой Д.Л.</t>
  </si>
  <si>
    <t>Договор об осуществлении технологического присоединения к электрическим сетям № 102 от 10.11.2016 г., заключенный между ООО "Трансэнерго" и МУП города Хабаровска "Водоканал"</t>
  </si>
  <si>
    <t>Договор об осуществлении технологического присоединения к электрическим сетям № 108 от 22.09.2016 г., заключенный между ООО "Трансэнерго" и Шишко В. Г.</t>
  </si>
  <si>
    <t>Договор об осуществлении технологического присоединения к электрическим сетям № 109 от 11.10.2016 г., заключенный между ООО "Трансэнерго" и Бузмаковой А. Е.</t>
  </si>
  <si>
    <t>Договор об осуществлении технологического присоединения к электрическим сетям № 117 от 30.09.2016 г., заключенный между ООО "Трансэнерго" и Назаренко С. С.</t>
  </si>
  <si>
    <t>Договор об осуществлении технологического присоединения к электрическим сетям № 136 от 05.12.2016 г., заключенный между ООО "Трансэнерго" и Беловым В. Н.</t>
  </si>
  <si>
    <t>Договор об осуществлении технологического присоединения к электрическим сетям № 156 от 09.01.2017 г., заключенный между ООО "Трансэнерго" и СНТ "Ветеран" в лице представителя Прохорова Ю. В.</t>
  </si>
  <si>
    <t>Договор об осуществлении технологического присоединения к электрическим сетям № 28 от 24.03.2017 г., заключенный между ООО "Трансэнерго" и Баданиным К.Г.</t>
  </si>
  <si>
    <t>Договор об осуществлении технологического присоединения к электрическим сетям № 38 от 06.04.2017 г., заключенный между ООО "Трансэнерго" и Автономной некоммерческой организацией "Изумрудный горорд"</t>
  </si>
  <si>
    <t>Договор об осуществлении технологического присоединения к электрическим сетям № 41 от 05.05.2017 г., заключенный между ООО "Трансэнерго" и ООО "Столица-Реал"</t>
  </si>
  <si>
    <t>Договор об осуществлении технологического присоединения к электрическим сетям № 55 от 31.08.2017 г., заключенный между ООО "Трансэнерго" и Местная религиозная организация "Хабаровская старообрядческая община во имя Покрова Пресвятой Богородицы"</t>
  </si>
  <si>
    <t>Договор об осуществлении технологического присоединения к электрическим сетям № 56 от 20.06.2017 г., заключенный между ООО "Трансэнерго" и ИП Вонарх Е. А.</t>
  </si>
  <si>
    <t>Договор об осуществлении технологического присоединения к электрическим сетям № 82 от 27.07.2017 г., заключенный между ООО "Трансэнерго" и ГМК-15 М</t>
  </si>
  <si>
    <t>Договор об осуществлении технологического присоединения к электрическим сетям № 95 от 01.11.2017 г., заключенный между ООО "Трансэнерго" и Бабенко В.В.</t>
  </si>
  <si>
    <t>ставка</t>
  </si>
  <si>
    <t>без НДС</t>
  </si>
  <si>
    <t>с НДС</t>
  </si>
  <si>
    <t>в акте</t>
  </si>
  <si>
    <t>год 
подачи 
зявления</t>
  </si>
  <si>
    <t>Присоед. Мощность</t>
  </si>
  <si>
    <t>Сумма 
(в соответствии с актами приемки выполненных работ)
(тыс. руб.)</t>
  </si>
  <si>
    <t>НЕ льготн</t>
  </si>
  <si>
    <t>итого по орг мероприят
(без НДС)</t>
  </si>
  <si>
    <t>итого по орг мероприят
(в т.ч. НДС)</t>
  </si>
  <si>
    <t>Заявители с максимальной мощностью присоединяемых энергопринимающих устройств до 15 кВт</t>
  </si>
  <si>
    <t>льготные</t>
  </si>
  <si>
    <t>шмонин</t>
  </si>
  <si>
    <t>повторное</t>
  </si>
  <si>
    <t>кол-во</t>
  </si>
  <si>
    <t>мощность</t>
  </si>
  <si>
    <r>
      <t xml:space="preserve">Расчет 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 </t>
    </r>
    <r>
      <rPr>
        <b/>
        <sz val="14"/>
        <rFont val="Times New Roman"/>
        <family val="1"/>
        <charset val="204"/>
      </rPr>
      <t>("льготное" подключение, 
но расстояние от границы участка заявителя до объекта электросетевого хоз-ва сетевой организации более 300 м)</t>
    </r>
    <r>
      <rPr>
        <b/>
        <sz val="14"/>
        <color theme="1"/>
        <rFont val="Times New Roman"/>
        <family val="1"/>
        <charset val="204"/>
      </rPr>
      <t xml:space="preserve">, 
не включаемых в состав платы за технологическое присоединение </t>
    </r>
  </si>
  <si>
    <r>
      <t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(заявители не относящиеся ко льготной категории )</t>
    </r>
  </si>
  <si>
    <r>
      <t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(льготное)</t>
    </r>
  </si>
  <si>
    <r>
      <t>Расчет размера расходов, связанных с осуществлением технологического присоединения 
энергопринимающих устройств максимальной мощностью, не превышающей 15 кВт включительно</t>
    </r>
    <r>
      <rPr>
        <b/>
        <sz val="14"/>
        <color theme="1"/>
        <rFont val="Times New Roman"/>
        <family val="1"/>
        <charset val="204"/>
      </rPr>
      <t xml:space="preserve">, 
не включаемых в состав платы за технологическое присоединение </t>
    </r>
  </si>
  <si>
    <t>Расчетные (фактические) данные за предыдущий период регулирования 
2017 год</t>
  </si>
  <si>
    <t>Расчет размера расходов, связанных с осуществлением технологического присоединения 
к электрическим сетям энергопринимающих устройств максимальной мощностью до 150 кВт (0,4кВ) включительно, 
не включаемых в состав платы за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</si>
</sst>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0&quot;р.&quot;"/>
    <numFmt numFmtId="165" formatCode="#,##0.0000&quot;р.&quot;"/>
    <numFmt numFmtId="166" formatCode="#,##0.0000"/>
    <numFmt numFmtId="167" formatCode="0.00000"/>
    <numFmt numFmtId="168" formatCode="0.00000000"/>
    <numFmt numFmtId="169" formatCode="0.0000"/>
    <numFmt numFmtId="170" formatCode="#,##0.000000"/>
    <numFmt numFmtId="171" formatCode="0.000"/>
    <numFmt numFmtId="172" formatCode="#,##0.0"/>
    <numFmt numFmtId="173" formatCode="#,##0.000"/>
    <numFmt numFmtId="174" formatCode="#,##0.00000"/>
    <numFmt numFmtId="175" formatCode="0.000000"/>
    <numFmt numFmtId="176" formatCode="#,##0.0000000"/>
    <numFmt numFmtId="177" formatCode="#,##0.0000000000"/>
  </numFmts>
  <fonts count="29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4" fontId="23" fillId="0" borderId="0" xfId="0" applyNumberFormat="1" applyFont="1"/>
    <xf numFmtId="0" fontId="23" fillId="0" borderId="0" xfId="0" applyFont="1" applyAlignment="1">
      <alignment horizontal="right"/>
    </xf>
    <xf numFmtId="0" fontId="10" fillId="0" borderId="0" xfId="0" applyFont="1"/>
    <xf numFmtId="0" fontId="9" fillId="0" borderId="0" xfId="0" applyFont="1"/>
    <xf numFmtId="0" fontId="21" fillId="0" borderId="0" xfId="0" applyFont="1"/>
    <xf numFmtId="0" fontId="9" fillId="0" borderId="0" xfId="0" applyFont="1" applyAlignment="1">
      <alignment horizontal="right"/>
    </xf>
    <xf numFmtId="0" fontId="25" fillId="0" borderId="0" xfId="2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/>
    </xf>
    <xf numFmtId="0" fontId="10" fillId="5" borderId="1" xfId="0" applyFont="1" applyFill="1" applyBorder="1"/>
    <xf numFmtId="4" fontId="4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0" borderId="0" xfId="0" applyFont="1"/>
    <xf numFmtId="0" fontId="10" fillId="0" borderId="0" xfId="0" applyFont="1" applyAlignment="1">
      <alignment horizontal="justify" vertical="center" wrapText="1"/>
    </xf>
    <xf numFmtId="167" fontId="10" fillId="0" borderId="0" xfId="0" applyNumberFormat="1" applyFont="1"/>
    <xf numFmtId="0" fontId="10" fillId="0" borderId="0" xfId="0" applyFont="1" applyAlignment="1">
      <alignment horizontal="left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3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7" fillId="3" borderId="5" xfId="0" applyNumberFormat="1" applyFont="1" applyFill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/>
    <xf numFmtId="0" fontId="24" fillId="0" borderId="0" xfId="0" applyFont="1" applyFill="1" applyAlignment="1">
      <alignment horizontal="right" vertical="center"/>
    </xf>
    <xf numFmtId="0" fontId="9" fillId="0" borderId="0" xfId="0" applyFont="1" applyFill="1"/>
    <xf numFmtId="168" fontId="10" fillId="0" borderId="0" xfId="0" applyNumberFormat="1" applyFont="1" applyFill="1"/>
    <xf numFmtId="171" fontId="10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/>
    <xf numFmtId="17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0" fontId="26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Border="1"/>
    <xf numFmtId="2" fontId="26" fillId="0" borderId="1" xfId="0" applyNumberFormat="1" applyFont="1" applyBorder="1"/>
    <xf numFmtId="0" fontId="10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0" fontId="10" fillId="9" borderId="0" xfId="0" applyFont="1" applyFill="1" applyBorder="1"/>
    <xf numFmtId="0" fontId="10" fillId="9" borderId="0" xfId="0" applyFont="1" applyFill="1"/>
    <xf numFmtId="0" fontId="10" fillId="0" borderId="1" xfId="0" applyFont="1" applyBorder="1" applyAlignment="1">
      <alignment horizontal="center" vertical="center" wrapText="1"/>
    </xf>
    <xf numFmtId="166" fontId="10" fillId="0" borderId="0" xfId="0" applyNumberFormat="1" applyFont="1"/>
    <xf numFmtId="0" fontId="10" fillId="10" borderId="0" xfId="0" applyFont="1" applyFill="1" applyBorder="1"/>
    <xf numFmtId="0" fontId="10" fillId="0" borderId="0" xfId="0" applyFont="1" applyFill="1" applyBorder="1"/>
    <xf numFmtId="0" fontId="10" fillId="11" borderId="0" xfId="0" applyFont="1" applyFill="1"/>
    <xf numFmtId="0" fontId="10" fillId="11" borderId="0" xfId="0" applyFont="1" applyFill="1" applyBorder="1"/>
    <xf numFmtId="0" fontId="10" fillId="11" borderId="0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174" fontId="10" fillId="0" borderId="0" xfId="0" applyNumberFormat="1" applyFont="1"/>
    <xf numFmtId="175" fontId="10" fillId="0" borderId="0" xfId="0" applyNumberFormat="1" applyFont="1"/>
    <xf numFmtId="170" fontId="10" fillId="0" borderId="0" xfId="0" applyNumberFormat="1" applyFont="1"/>
    <xf numFmtId="0" fontId="10" fillId="0" borderId="1" xfId="0" applyFont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5" fillId="11" borderId="1" xfId="0" applyFont="1" applyFill="1" applyBorder="1"/>
    <xf numFmtId="4" fontId="26" fillId="11" borderId="1" xfId="0" applyNumberFormat="1" applyFont="1" applyFill="1" applyBorder="1"/>
    <xf numFmtId="0" fontId="5" fillId="11" borderId="0" xfId="0" applyFont="1" applyFill="1"/>
    <xf numFmtId="0" fontId="5" fillId="8" borderId="1" xfId="0" applyFont="1" applyFill="1" applyBorder="1"/>
    <xf numFmtId="0" fontId="26" fillId="8" borderId="1" xfId="0" applyFont="1" applyFill="1" applyBorder="1" applyAlignment="1">
      <alignment horizontal="left" vertical="center" wrapText="1"/>
    </xf>
    <xf numFmtId="4" fontId="26" fillId="8" borderId="1" xfId="0" applyNumberFormat="1" applyFont="1" applyFill="1" applyBorder="1"/>
    <xf numFmtId="0" fontId="5" fillId="8" borderId="0" xfId="0" applyFont="1" applyFill="1"/>
    <xf numFmtId="4" fontId="5" fillId="0" borderId="0" xfId="0" applyNumberFormat="1" applyFont="1"/>
    <xf numFmtId="4" fontId="7" fillId="4" borderId="0" xfId="0" applyNumberFormat="1" applyFont="1" applyFill="1"/>
    <xf numFmtId="0" fontId="7" fillId="4" borderId="0" xfId="0" applyFont="1" applyFill="1"/>
    <xf numFmtId="0" fontId="10" fillId="0" borderId="1" xfId="0" applyFont="1" applyBorder="1" applyAlignment="1">
      <alignment horizontal="center" vertical="center" wrapText="1"/>
    </xf>
    <xf numFmtId="169" fontId="10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2" fontId="10" fillId="0" borderId="0" xfId="0" applyNumberFormat="1" applyFont="1" applyFill="1"/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4" fontId="10" fillId="9" borderId="0" xfId="0" applyNumberFormat="1" applyFont="1" applyFill="1"/>
    <xf numFmtId="171" fontId="10" fillId="0" borderId="0" xfId="0" applyNumberFormat="1" applyFont="1"/>
    <xf numFmtId="0" fontId="10" fillId="0" borderId="0" xfId="0" applyFont="1" applyBorder="1" applyAlignment="1">
      <alignment horizontal="right"/>
    </xf>
    <xf numFmtId="0" fontId="10" fillId="4" borderId="0" xfId="0" applyFont="1" applyFill="1"/>
    <xf numFmtId="0" fontId="10" fillId="4" borderId="0" xfId="0" applyFont="1" applyFill="1" applyBorder="1"/>
    <xf numFmtId="167" fontId="10" fillId="0" borderId="0" xfId="0" applyNumberFormat="1" applyFont="1" applyBorder="1"/>
    <xf numFmtId="0" fontId="10" fillId="4" borderId="0" xfId="0" applyFont="1" applyFill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4" borderId="0" xfId="0" applyNumberFormat="1" applyFont="1" applyFill="1"/>
    <xf numFmtId="167" fontId="10" fillId="4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4" fontId="10" fillId="4" borderId="0" xfId="0" applyNumberFormat="1" applyFont="1" applyFill="1" applyBorder="1"/>
    <xf numFmtId="173" fontId="10" fillId="0" borderId="1" xfId="0" applyNumberFormat="1" applyFont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0" borderId="0" xfId="0" applyNumberFormat="1" applyFont="1" applyFill="1" applyBorder="1"/>
    <xf numFmtId="176" fontId="10" fillId="0" borderId="0" xfId="0" applyNumberFormat="1" applyFont="1" applyFill="1" applyBorder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right" vertical="center" wrapText="1"/>
    </xf>
    <xf numFmtId="0" fontId="28" fillId="11" borderId="1" xfId="0" applyFont="1" applyFill="1" applyBorder="1" applyAlignment="1">
      <alignment horizontal="center" vertical="center" wrapText="1"/>
    </xf>
    <xf numFmtId="4" fontId="28" fillId="11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10" fillId="0" borderId="0" xfId="0" applyNumberFormat="1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/>
    <xf numFmtId="3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  <color rgb="FFFFFFCC"/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SH~1/AppData/Local/Temp/Rar$DI41.024/&#1053;&#1054;&#1042;&#1067;&#1049;%20&#1090;&#1077;&#1093;%20&#1087;&#1088;&#1080;&#1089;/&#1057;&#1090;&#1072;&#1088;&#1099;&#1077;%20&#1074;&#1072;&#1088;&#1080;&#1072;&#1085;&#1090;&#1099;/&#1056;&#1072;&#1089;&#1095;&#1077;&#1090;%20&#1087;&#1083;&#1072;&#1090;&#1099;%20&#1079;&#1072;%20&#1058;&#1055;%20(&#1047;&#1055;%202%20&#1074;&#1072;&#1088;&#1080;&#1072;&#1085;&#1090;&#1072;)%20&#1085;&#1072;%202018&#1075;.%20&#1054;&#1054;&#1054;%20&#1058;&#1088;&#1072;&#1085;&#1089;&#1101;&#1085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7;&#1086;%20&#1083;&#1080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. фактич. мощность"/>
      <sheetName val="Планируем. кол-во ТП"/>
      <sheetName val="НВВ 2018 Экспертн"/>
      <sheetName val="Калькуляция стоимости с зп КЦиТ"/>
      <sheetName val="Ставка за мощность I вар "/>
      <sheetName val="Стандартиз. С1  I вариант"/>
      <sheetName val="затраты врем на 1 ТП"/>
      <sheetName val="затр. время (ОСТ. Этапы)"/>
      <sheetName val="СР.ЧАС ЗП"/>
      <sheetName val="СР.ЗП Эксперты"/>
      <sheetName val="ЗП экспертн"/>
      <sheetName val="ФОТ 2018"/>
      <sheetName val="ФОТ+Транспорт"/>
      <sheetName val="Транспорт.расх."/>
      <sheetName val="НВВ 2018"/>
      <sheetName val="Распределение НВВ"/>
      <sheetName val="Расх. на разработку проекта"/>
      <sheetName val="Затраты на стр-во сети"/>
      <sheetName val="Ставка платы за мощн. II вар"/>
      <sheetName val="Стандарт. С1 II вар"/>
      <sheetName val="550р"/>
      <sheetName val="Прил № 1 к Приказу"/>
      <sheetName val="РЕЕСТР Документов"/>
      <sheetName val="данные по ЭЗ"/>
      <sheetName val="Факт 2017"/>
      <sheetName val="Факт 2016"/>
      <sheetName val="Анализ факта за 2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G3">
            <v>0.34899999999999998</v>
          </cell>
        </row>
        <row r="4">
          <cell r="G4">
            <v>0.19700000000000001</v>
          </cell>
        </row>
        <row r="5">
          <cell r="G5">
            <v>0.06</v>
          </cell>
        </row>
        <row r="6">
          <cell r="G6">
            <v>0.12</v>
          </cell>
        </row>
        <row r="7">
          <cell r="G7">
            <v>0.2</v>
          </cell>
        </row>
        <row r="8">
          <cell r="G8">
            <v>0.35299999999999998</v>
          </cell>
        </row>
        <row r="9">
          <cell r="G9">
            <v>0.27500000000000002</v>
          </cell>
        </row>
      </sheetData>
      <sheetData sheetId="25">
        <row r="33">
          <cell r="E33">
            <v>1.67</v>
          </cell>
        </row>
        <row r="40">
          <cell r="E40">
            <v>0.40749999999999997</v>
          </cell>
        </row>
        <row r="42">
          <cell r="E42">
            <v>0.08</v>
          </cell>
        </row>
      </sheetData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  <sheetName val="Проверено"/>
      <sheetName val="Линии для у.е. которые надо доп"/>
      <sheetName val="км которые попали в выпадающие"/>
      <sheetName val="км которые пойдут в УЕ"/>
    </sheetNames>
    <sheetDataSet>
      <sheetData sheetId="0"/>
      <sheetData sheetId="1">
        <row r="76">
          <cell r="K76">
            <v>2020539.8312000001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view="pageBreakPreview" topLeftCell="A19" zoomScale="60" zoomScaleNormal="78" workbookViewId="0">
      <selection activeCell="F36" sqref="F36"/>
    </sheetView>
  </sheetViews>
  <sheetFormatPr defaultRowHeight="15" x14ac:dyDescent="0.25"/>
  <cols>
    <col min="1" max="1" width="5.7109375" customWidth="1"/>
    <col min="2" max="2" width="20.85546875" customWidth="1"/>
    <col min="3" max="3" width="27.5703125" customWidth="1"/>
    <col min="4" max="4" width="26.42578125" customWidth="1"/>
    <col min="5" max="5" width="22.7109375" customWidth="1"/>
    <col min="6" max="6" width="29.28515625" customWidth="1"/>
    <col min="7" max="7" width="31.5703125" customWidth="1"/>
  </cols>
  <sheetData>
    <row r="1" spans="1:11" ht="64.900000000000006" customHeight="1" x14ac:dyDescent="0.25">
      <c r="A1" s="278" t="s">
        <v>0</v>
      </c>
      <c r="B1" s="279"/>
      <c r="C1" s="279"/>
      <c r="D1" s="279"/>
      <c r="E1" s="279"/>
      <c r="F1" s="279"/>
      <c r="G1" s="280"/>
      <c r="H1" s="1"/>
      <c r="I1" s="1"/>
      <c r="J1" s="1"/>
      <c r="K1" s="1"/>
    </row>
    <row r="2" spans="1:11" ht="17.45" customHeight="1" x14ac:dyDescent="0.25">
      <c r="A2" s="278" t="s">
        <v>1</v>
      </c>
      <c r="B2" s="279"/>
      <c r="C2" s="279"/>
      <c r="D2" s="279"/>
      <c r="E2" s="279"/>
      <c r="F2" s="279"/>
      <c r="G2" s="280"/>
    </row>
    <row r="3" spans="1:11" ht="114.6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76</v>
      </c>
    </row>
    <row r="4" spans="1:11" s="2" customFormat="1" ht="30" customHeight="1" x14ac:dyDescent="0.25">
      <c r="A4" s="3">
        <v>1</v>
      </c>
      <c r="B4" s="5" t="s">
        <v>8</v>
      </c>
      <c r="C4" s="6" t="s">
        <v>9</v>
      </c>
      <c r="D4" s="7" t="s">
        <v>78</v>
      </c>
      <c r="E4" s="8">
        <v>723537.62</v>
      </c>
      <c r="F4" s="9">
        <v>71991.990000000005</v>
      </c>
      <c r="G4" s="10">
        <v>2</v>
      </c>
    </row>
    <row r="5" spans="1:11" s="2" customFormat="1" ht="30" customHeight="1" x14ac:dyDescent="0.25">
      <c r="A5" s="3">
        <v>2</v>
      </c>
      <c r="B5" s="5" t="s">
        <v>10</v>
      </c>
      <c r="C5" s="6" t="s">
        <v>11</v>
      </c>
      <c r="D5" s="7" t="s">
        <v>79</v>
      </c>
      <c r="E5" s="8">
        <v>723537.62</v>
      </c>
      <c r="F5" s="3">
        <v>68374.31</v>
      </c>
      <c r="G5" s="3">
        <v>2</v>
      </c>
    </row>
    <row r="6" spans="1:11" s="2" customFormat="1" ht="30" customHeight="1" x14ac:dyDescent="0.25">
      <c r="A6" s="3">
        <v>3</v>
      </c>
      <c r="B6" s="5" t="s">
        <v>12</v>
      </c>
      <c r="C6" s="6" t="s">
        <v>13</v>
      </c>
      <c r="D6" s="7" t="s">
        <v>80</v>
      </c>
      <c r="E6" s="8">
        <v>723537.62</v>
      </c>
      <c r="F6" s="3">
        <v>43412.26</v>
      </c>
      <c r="G6" s="3">
        <v>1</v>
      </c>
    </row>
    <row r="7" spans="1:11" s="2" customFormat="1" ht="30" customHeight="1" x14ac:dyDescent="0.25">
      <c r="A7" s="3">
        <v>4</v>
      </c>
      <c r="B7" s="5" t="s">
        <v>14</v>
      </c>
      <c r="C7" s="6" t="s">
        <v>15</v>
      </c>
      <c r="D7" s="7" t="s">
        <v>81</v>
      </c>
      <c r="E7" s="8">
        <v>723537.62</v>
      </c>
      <c r="F7" s="3">
        <v>76694.990000000005</v>
      </c>
      <c r="G7" s="3">
        <v>3</v>
      </c>
    </row>
    <row r="8" spans="1:11" s="2" customFormat="1" ht="30" customHeight="1" x14ac:dyDescent="0.25">
      <c r="A8" s="3">
        <v>5</v>
      </c>
      <c r="B8" s="5" t="s">
        <v>16</v>
      </c>
      <c r="C8" s="6" t="s">
        <v>17</v>
      </c>
      <c r="D8" s="7" t="s">
        <v>82</v>
      </c>
      <c r="E8" s="8">
        <v>723537.62</v>
      </c>
      <c r="F8" s="3">
        <v>32559.19</v>
      </c>
      <c r="G8" s="3">
        <v>1</v>
      </c>
    </row>
    <row r="9" spans="1:11" s="2" customFormat="1" ht="30" customHeight="1" x14ac:dyDescent="0.25">
      <c r="A9" s="3">
        <v>6</v>
      </c>
      <c r="B9" s="5" t="s">
        <v>19</v>
      </c>
      <c r="C9" s="6" t="s">
        <v>20</v>
      </c>
      <c r="D9" s="7" t="s">
        <v>83</v>
      </c>
      <c r="E9" s="8">
        <v>723537.62</v>
      </c>
      <c r="F9" s="3">
        <v>57883.01</v>
      </c>
      <c r="G9" s="3">
        <v>2</v>
      </c>
    </row>
    <row r="10" spans="1:11" s="2" customFormat="1" ht="30" customHeight="1" x14ac:dyDescent="0.25">
      <c r="A10" s="3">
        <v>7</v>
      </c>
      <c r="B10" s="5" t="s">
        <v>21</v>
      </c>
      <c r="C10" s="6" t="s">
        <v>22</v>
      </c>
      <c r="D10" s="7" t="s">
        <v>84</v>
      </c>
      <c r="E10" s="8">
        <v>723537.62</v>
      </c>
      <c r="F10" s="3">
        <v>12661.91</v>
      </c>
      <c r="G10" s="3">
        <v>1</v>
      </c>
    </row>
    <row r="11" spans="1:11" s="2" customFormat="1" ht="30" customHeight="1" x14ac:dyDescent="0.25">
      <c r="A11" s="3">
        <v>8</v>
      </c>
      <c r="B11" s="5" t="s">
        <v>24</v>
      </c>
      <c r="C11" s="6" t="s">
        <v>25</v>
      </c>
      <c r="D11" s="7" t="s">
        <v>85</v>
      </c>
      <c r="E11" s="8">
        <v>723537.62</v>
      </c>
      <c r="F11" s="3">
        <v>28941.51</v>
      </c>
      <c r="G11" s="3">
        <v>1</v>
      </c>
    </row>
    <row r="12" spans="1:11" s="2" customFormat="1" ht="30" customHeight="1" x14ac:dyDescent="0.25">
      <c r="A12" s="3">
        <v>9</v>
      </c>
      <c r="B12" s="5" t="s">
        <v>26</v>
      </c>
      <c r="C12" s="6" t="s">
        <v>27</v>
      </c>
      <c r="D12" s="7" t="s">
        <v>86</v>
      </c>
      <c r="E12" s="8">
        <v>723537.62</v>
      </c>
      <c r="F12" s="3">
        <v>48838.79</v>
      </c>
      <c r="G12" s="3">
        <v>2</v>
      </c>
    </row>
    <row r="13" spans="1:11" s="2" customFormat="1" ht="30" customHeight="1" x14ac:dyDescent="0.25">
      <c r="A13" s="3">
        <v>10</v>
      </c>
      <c r="B13" s="5" t="s">
        <v>28</v>
      </c>
      <c r="C13" s="6" t="s">
        <v>29</v>
      </c>
      <c r="D13" s="7" t="s">
        <v>87</v>
      </c>
      <c r="E13" s="8">
        <v>723537.62</v>
      </c>
      <c r="F13" s="3">
        <v>39432.800000000003</v>
      </c>
      <c r="G13" s="3">
        <v>2</v>
      </c>
    </row>
    <row r="14" spans="1:11" s="2" customFormat="1" ht="30" customHeight="1" x14ac:dyDescent="0.25">
      <c r="A14" s="3">
        <v>11</v>
      </c>
      <c r="B14" s="5" t="s">
        <v>30</v>
      </c>
      <c r="C14" s="6" t="s">
        <v>31</v>
      </c>
      <c r="D14" s="7" t="s">
        <v>83</v>
      </c>
      <c r="E14" s="8">
        <v>723537.62</v>
      </c>
      <c r="F14" s="3">
        <v>57883.01</v>
      </c>
      <c r="G14" s="3">
        <v>2</v>
      </c>
    </row>
    <row r="15" spans="1:11" s="2" customFormat="1" ht="30" customHeight="1" x14ac:dyDescent="0.25">
      <c r="A15" s="3">
        <v>12</v>
      </c>
      <c r="B15" s="5" t="s">
        <v>32</v>
      </c>
      <c r="C15" s="6" t="s">
        <v>33</v>
      </c>
      <c r="D15" s="7" t="s">
        <v>82</v>
      </c>
      <c r="E15" s="8">
        <v>723537.62</v>
      </c>
      <c r="F15" s="3">
        <v>32559.19</v>
      </c>
      <c r="G15" s="3">
        <v>1</v>
      </c>
    </row>
    <row r="16" spans="1:11" s="2" customFormat="1" ht="30" customHeight="1" x14ac:dyDescent="0.25">
      <c r="A16" s="3">
        <v>13</v>
      </c>
      <c r="B16" s="5" t="s">
        <v>34</v>
      </c>
      <c r="C16" s="6" t="s">
        <v>35</v>
      </c>
      <c r="D16" s="7" t="s">
        <v>23</v>
      </c>
      <c r="E16" s="8">
        <v>723537.62</v>
      </c>
      <c r="F16" s="3">
        <v>25323.82</v>
      </c>
      <c r="G16" s="3">
        <v>1</v>
      </c>
    </row>
    <row r="17" spans="1:7" s="2" customFormat="1" ht="30" customHeight="1" x14ac:dyDescent="0.25">
      <c r="A17" s="3">
        <v>14</v>
      </c>
      <c r="B17" s="5" t="s">
        <v>36</v>
      </c>
      <c r="C17" s="6" t="s">
        <v>37</v>
      </c>
      <c r="D17" s="7" t="s">
        <v>88</v>
      </c>
      <c r="E17" s="8">
        <v>723537.62</v>
      </c>
      <c r="F17" s="3">
        <v>159178.28</v>
      </c>
      <c r="G17" s="3">
        <v>5</v>
      </c>
    </row>
    <row r="18" spans="1:7" s="2" customFormat="1" ht="30" customHeight="1" x14ac:dyDescent="0.25">
      <c r="A18" s="3">
        <v>15</v>
      </c>
      <c r="B18" s="5" t="s">
        <v>38</v>
      </c>
      <c r="C18" s="6" t="s">
        <v>39</v>
      </c>
      <c r="D18" s="7" t="s">
        <v>89</v>
      </c>
      <c r="E18" s="8">
        <v>723537.62</v>
      </c>
      <c r="F18" s="3">
        <v>10853.06</v>
      </c>
      <c r="G18" s="3">
        <v>1</v>
      </c>
    </row>
    <row r="19" spans="1:7" s="2" customFormat="1" ht="30" customHeight="1" x14ac:dyDescent="0.25">
      <c r="A19" s="3">
        <v>16</v>
      </c>
      <c r="B19" s="5" t="s">
        <v>40</v>
      </c>
      <c r="C19" s="6" t="s">
        <v>41</v>
      </c>
      <c r="D19" s="7" t="s">
        <v>86</v>
      </c>
      <c r="E19" s="8">
        <v>723537.62</v>
      </c>
      <c r="F19" s="3">
        <v>48838.79</v>
      </c>
      <c r="G19" s="3">
        <v>2</v>
      </c>
    </row>
    <row r="20" spans="1:7" s="2" customFormat="1" ht="30" customHeight="1" x14ac:dyDescent="0.25">
      <c r="A20" s="3">
        <v>17</v>
      </c>
      <c r="B20" s="5" t="s">
        <v>42</v>
      </c>
      <c r="C20" s="6" t="s">
        <v>43</v>
      </c>
      <c r="D20" s="7" t="s">
        <v>80</v>
      </c>
      <c r="E20" s="8">
        <v>723537.62</v>
      </c>
      <c r="F20" s="3">
        <v>43412.26</v>
      </c>
      <c r="G20" s="3">
        <v>2</v>
      </c>
    </row>
    <row r="21" spans="1:7" s="2" customFormat="1" ht="30" customHeight="1" x14ac:dyDescent="0.25">
      <c r="A21" s="3">
        <v>18</v>
      </c>
      <c r="B21" s="5" t="s">
        <v>44</v>
      </c>
      <c r="C21" s="6" t="s">
        <v>45</v>
      </c>
      <c r="D21" s="7" t="s">
        <v>90</v>
      </c>
      <c r="E21" s="8">
        <v>723537.62</v>
      </c>
      <c r="F21" s="3">
        <v>54265.32</v>
      </c>
      <c r="G21" s="3">
        <v>2</v>
      </c>
    </row>
    <row r="22" spans="1:7" s="2" customFormat="1" ht="30" customHeight="1" x14ac:dyDescent="0.25">
      <c r="A22" s="3">
        <v>19</v>
      </c>
      <c r="B22" s="5" t="s">
        <v>46</v>
      </c>
      <c r="C22" s="6" t="s">
        <v>47</v>
      </c>
      <c r="D22" s="7" t="s">
        <v>91</v>
      </c>
      <c r="E22" s="8">
        <v>723537.62</v>
      </c>
      <c r="F22" s="3">
        <v>52094.71</v>
      </c>
      <c r="G22" s="3">
        <v>2</v>
      </c>
    </row>
    <row r="23" spans="1:7" s="2" customFormat="1" ht="30" customHeight="1" x14ac:dyDescent="0.25">
      <c r="A23" s="3">
        <v>20</v>
      </c>
      <c r="B23" s="5" t="s">
        <v>48</v>
      </c>
      <c r="C23" s="6" t="s">
        <v>49</v>
      </c>
      <c r="D23" s="7" t="s">
        <v>18</v>
      </c>
      <c r="E23" s="8">
        <v>723537.62</v>
      </c>
      <c r="F23" s="3">
        <v>65118.38</v>
      </c>
      <c r="G23" s="3">
        <v>2</v>
      </c>
    </row>
    <row r="24" spans="1:7" s="2" customFormat="1" ht="30" customHeight="1" x14ac:dyDescent="0.25">
      <c r="A24" s="3">
        <v>21</v>
      </c>
      <c r="B24" s="5" t="s">
        <v>50</v>
      </c>
      <c r="C24" s="6" t="s">
        <v>51</v>
      </c>
      <c r="D24" s="7" t="s">
        <v>92</v>
      </c>
      <c r="E24" s="8">
        <v>723537.62</v>
      </c>
      <c r="F24" s="3">
        <v>30750.35</v>
      </c>
      <c r="G24" s="3">
        <v>1</v>
      </c>
    </row>
    <row r="25" spans="1:7" s="2" customFormat="1" ht="30" customHeight="1" x14ac:dyDescent="0.25">
      <c r="A25" s="3">
        <v>22</v>
      </c>
      <c r="B25" s="5" t="s">
        <v>53</v>
      </c>
      <c r="C25" s="6" t="s">
        <v>54</v>
      </c>
      <c r="D25" s="7" t="s">
        <v>93</v>
      </c>
      <c r="E25" s="8">
        <v>723537.62</v>
      </c>
      <c r="F25" s="3">
        <v>90442.2</v>
      </c>
      <c r="G25" s="3">
        <v>3</v>
      </c>
    </row>
    <row r="26" spans="1:7" s="2" customFormat="1" ht="30" customHeight="1" x14ac:dyDescent="0.25">
      <c r="A26" s="3">
        <v>23</v>
      </c>
      <c r="B26" s="5" t="s">
        <v>70</v>
      </c>
      <c r="C26" s="6" t="s">
        <v>71</v>
      </c>
      <c r="D26" s="7" t="s">
        <v>94</v>
      </c>
      <c r="E26" s="8">
        <v>723537.62</v>
      </c>
      <c r="F26" s="3">
        <v>56797.7</v>
      </c>
      <c r="G26" s="3">
        <v>2</v>
      </c>
    </row>
    <row r="27" spans="1:7" s="2" customFormat="1" ht="30" customHeight="1" x14ac:dyDescent="0.25">
      <c r="A27" s="11"/>
      <c r="B27" s="11" t="s">
        <v>55</v>
      </c>
      <c r="C27" s="11"/>
      <c r="D27" s="12" t="s">
        <v>95</v>
      </c>
      <c r="E27" s="11"/>
      <c r="F27" s="13">
        <f>SUM(F4:F26)</f>
        <v>1208307.8299999998</v>
      </c>
      <c r="G27" s="13"/>
    </row>
    <row r="28" spans="1:7" s="2" customFormat="1" ht="30" customHeight="1" x14ac:dyDescent="0.25">
      <c r="A28" s="14"/>
      <c r="B28" s="15"/>
      <c r="C28" s="15"/>
      <c r="D28" s="16"/>
      <c r="E28" s="15"/>
      <c r="F28" s="17"/>
      <c r="G28" s="18"/>
    </row>
    <row r="29" spans="1:7" s="2" customFormat="1" ht="30" customHeight="1" x14ac:dyDescent="0.25">
      <c r="A29" s="278" t="s">
        <v>56</v>
      </c>
      <c r="B29" s="279"/>
      <c r="C29" s="279"/>
      <c r="D29" s="279"/>
      <c r="E29" s="279"/>
      <c r="F29" s="279"/>
      <c r="G29" s="280"/>
    </row>
    <row r="30" spans="1:7" s="2" customFormat="1" ht="30" customHeight="1" x14ac:dyDescent="0.25">
      <c r="A30" s="3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3"/>
    </row>
    <row r="31" spans="1:7" s="2" customFormat="1" ht="30" customHeight="1" x14ac:dyDescent="0.25">
      <c r="A31" s="3">
        <v>1</v>
      </c>
      <c r="B31" s="5" t="s">
        <v>57</v>
      </c>
      <c r="C31" s="6" t="s">
        <v>58</v>
      </c>
      <c r="D31" s="7" t="s">
        <v>80</v>
      </c>
      <c r="E31" s="8">
        <v>868631.38</v>
      </c>
      <c r="F31" s="3">
        <v>52117.88</v>
      </c>
      <c r="G31" s="3">
        <v>2</v>
      </c>
    </row>
    <row r="32" spans="1:7" s="2" customFormat="1" ht="30" customHeight="1" x14ac:dyDescent="0.25">
      <c r="A32" s="3">
        <v>2</v>
      </c>
      <c r="B32" s="5" t="s">
        <v>59</v>
      </c>
      <c r="C32" s="6" t="s">
        <v>100</v>
      </c>
      <c r="D32" s="7" t="s">
        <v>90</v>
      </c>
      <c r="E32" s="8">
        <v>868631.38</v>
      </c>
      <c r="F32" s="3">
        <v>65147.35</v>
      </c>
      <c r="G32" s="3">
        <v>2</v>
      </c>
    </row>
    <row r="33" spans="1:7" s="2" customFormat="1" ht="30" customHeight="1" x14ac:dyDescent="0.25">
      <c r="A33" s="3">
        <v>3</v>
      </c>
      <c r="B33" s="5" t="s">
        <v>60</v>
      </c>
      <c r="C33" s="6" t="s">
        <v>61</v>
      </c>
      <c r="D33" s="7" t="s">
        <v>96</v>
      </c>
      <c r="E33" s="8">
        <v>868631.38</v>
      </c>
      <c r="F33" s="3">
        <v>99892.61</v>
      </c>
      <c r="G33" s="3">
        <v>3</v>
      </c>
    </row>
    <row r="34" spans="1:7" s="2" customFormat="1" ht="30" customHeight="1" x14ac:dyDescent="0.25">
      <c r="A34" s="3">
        <v>4</v>
      </c>
      <c r="B34" s="5" t="s">
        <v>62</v>
      </c>
      <c r="C34" s="6" t="s">
        <v>63</v>
      </c>
      <c r="D34" s="7" t="s">
        <v>52</v>
      </c>
      <c r="E34" s="8">
        <v>868631.38</v>
      </c>
      <c r="F34" s="3">
        <v>73833.67</v>
      </c>
      <c r="G34" s="3">
        <v>2</v>
      </c>
    </row>
    <row r="35" spans="1:7" s="2" customFormat="1" ht="30" customHeight="1" x14ac:dyDescent="0.25">
      <c r="A35" s="3">
        <v>5</v>
      </c>
      <c r="B35" s="5" t="s">
        <v>72</v>
      </c>
      <c r="C35" s="6" t="s">
        <v>73</v>
      </c>
      <c r="D35" s="7" t="s">
        <v>97</v>
      </c>
      <c r="E35" s="8">
        <v>868631.38</v>
      </c>
      <c r="F35" s="3">
        <v>62975.78</v>
      </c>
      <c r="G35" s="3">
        <v>2</v>
      </c>
    </row>
    <row r="36" spans="1:7" s="2" customFormat="1" ht="30" customHeight="1" x14ac:dyDescent="0.25">
      <c r="A36" s="11"/>
      <c r="B36" s="11" t="s">
        <v>55</v>
      </c>
      <c r="C36" s="11"/>
      <c r="D36" s="12" t="s">
        <v>98</v>
      </c>
      <c r="E36" s="11"/>
      <c r="F36" s="11">
        <f>SUM(F31:F35)</f>
        <v>353967.29000000004</v>
      </c>
      <c r="G36" s="11"/>
    </row>
    <row r="37" spans="1:7" s="2" customFormat="1" ht="30" customHeight="1" x14ac:dyDescent="0.25">
      <c r="A37" s="14"/>
      <c r="B37" s="15"/>
      <c r="C37" s="15"/>
      <c r="D37" s="16"/>
      <c r="E37" s="15"/>
      <c r="F37" s="15"/>
      <c r="G37" s="19"/>
    </row>
    <row r="38" spans="1:7" s="2" customFormat="1" ht="30" customHeight="1" x14ac:dyDescent="0.25">
      <c r="A38" s="278" t="s">
        <v>74</v>
      </c>
      <c r="B38" s="279"/>
      <c r="C38" s="279"/>
      <c r="D38" s="279"/>
      <c r="E38" s="279"/>
      <c r="F38" s="279"/>
      <c r="G38" s="280"/>
    </row>
    <row r="39" spans="1:7" s="2" customFormat="1" ht="30" customHeight="1" x14ac:dyDescent="0.25">
      <c r="A39" s="3">
        <v>1</v>
      </c>
      <c r="B39" s="5" t="s">
        <v>75</v>
      </c>
      <c r="C39" s="6" t="s">
        <v>99</v>
      </c>
      <c r="D39" s="7" t="s">
        <v>83</v>
      </c>
      <c r="E39" s="8">
        <v>1046440.74</v>
      </c>
      <c r="F39" s="3">
        <v>83715.259999999995</v>
      </c>
      <c r="G39" s="3">
        <v>2</v>
      </c>
    </row>
    <row r="40" spans="1:7" ht="15.75" x14ac:dyDescent="0.25">
      <c r="A40" s="11"/>
      <c r="B40" s="11" t="s">
        <v>55</v>
      </c>
      <c r="C40" s="11"/>
      <c r="D40" s="12" t="s">
        <v>83</v>
      </c>
      <c r="E40" s="11"/>
      <c r="F40" s="11">
        <v>83715.259999999995</v>
      </c>
      <c r="G40" s="11"/>
    </row>
    <row r="41" spans="1:7" ht="15.75" x14ac:dyDescent="0.25">
      <c r="A41" s="14"/>
      <c r="B41" s="5"/>
      <c r="C41" s="20"/>
      <c r="D41" s="16"/>
      <c r="E41" s="21"/>
      <c r="F41" s="15"/>
      <c r="G41" s="19"/>
    </row>
    <row r="42" spans="1:7" ht="15.75" x14ac:dyDescent="0.25">
      <c r="A42" s="278" t="s">
        <v>64</v>
      </c>
      <c r="B42" s="279"/>
      <c r="C42" s="279"/>
      <c r="D42" s="279"/>
      <c r="E42" s="279"/>
      <c r="F42" s="279"/>
      <c r="G42" s="280"/>
    </row>
    <row r="43" spans="1:7" ht="15.75" x14ac:dyDescent="0.25">
      <c r="A43" s="3">
        <v>1</v>
      </c>
      <c r="B43" s="281" t="s">
        <v>65</v>
      </c>
      <c r="C43" s="282"/>
      <c r="D43" s="7" t="s">
        <v>66</v>
      </c>
      <c r="E43" s="3"/>
      <c r="F43" s="3">
        <v>882203</v>
      </c>
      <c r="G43" s="3"/>
    </row>
    <row r="44" spans="1:7" ht="15.75" x14ac:dyDescent="0.25">
      <c r="A44" s="3">
        <v>2</v>
      </c>
      <c r="B44" s="281" t="s">
        <v>67</v>
      </c>
      <c r="C44" s="282"/>
      <c r="D44" s="7"/>
      <c r="E44" s="3"/>
      <c r="F44" s="3">
        <v>1386441</v>
      </c>
      <c r="G44" s="3"/>
    </row>
    <row r="45" spans="1:7" ht="15.75" x14ac:dyDescent="0.25">
      <c r="A45" s="11"/>
      <c r="B45" s="11" t="s">
        <v>55</v>
      </c>
      <c r="C45" s="11"/>
      <c r="D45" s="12" t="s">
        <v>66</v>
      </c>
      <c r="E45" s="11"/>
      <c r="F45" s="11">
        <f>SUM(F43:F44)</f>
        <v>2268644</v>
      </c>
      <c r="G45" s="11"/>
    </row>
    <row r="46" spans="1:7" ht="15.75" x14ac:dyDescent="0.25">
      <c r="A46" s="3"/>
      <c r="B46" s="3"/>
      <c r="C46" s="3"/>
      <c r="D46" s="3"/>
      <c r="E46" s="3"/>
      <c r="F46" s="3"/>
      <c r="G46" s="3"/>
    </row>
    <row r="47" spans="1:7" ht="15.75" x14ac:dyDescent="0.25">
      <c r="A47" s="11"/>
      <c r="B47" s="11" t="s">
        <v>68</v>
      </c>
      <c r="C47" s="11"/>
      <c r="D47" s="12" t="s">
        <v>69</v>
      </c>
      <c r="E47" s="11"/>
      <c r="F47" s="13">
        <f>F45+F36+F27</f>
        <v>3830919.12</v>
      </c>
      <c r="G47" s="11"/>
    </row>
    <row r="52" spans="2:2" x14ac:dyDescent="0.25">
      <c r="B52" t="s">
        <v>77</v>
      </c>
    </row>
  </sheetData>
  <mergeCells count="7">
    <mergeCell ref="A38:G38"/>
    <mergeCell ref="A42:G42"/>
    <mergeCell ref="B43:C43"/>
    <mergeCell ref="B44:C44"/>
    <mergeCell ref="A1:G1"/>
    <mergeCell ref="A2:G2"/>
    <mergeCell ref="A29:G29"/>
  </mergeCell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29"/>
  <sheetViews>
    <sheetView view="pageBreakPreview" topLeftCell="A19" zoomScale="60" zoomScaleNormal="64" workbookViewId="0">
      <selection sqref="A1:XFD1048576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4" style="87" customWidth="1"/>
    <col min="4" max="4" width="13.5703125" style="87" customWidth="1"/>
    <col min="5" max="5" width="13.42578125" style="87" customWidth="1"/>
    <col min="6" max="6" width="14.5703125" style="87" customWidth="1"/>
    <col min="7" max="7" width="13" style="87" customWidth="1"/>
    <col min="8" max="8" width="12" style="87" customWidth="1"/>
    <col min="9" max="9" width="16.85546875" style="103" customWidth="1"/>
    <col min="10" max="10" width="13.140625" style="103" customWidth="1"/>
    <col min="11" max="11" width="11.85546875" style="103" bestFit="1" customWidth="1"/>
    <col min="12" max="12" width="9.140625" style="87"/>
    <col min="13" max="13" width="13" style="87" customWidth="1"/>
    <col min="14" max="16384" width="9.140625" style="87"/>
  </cols>
  <sheetData>
    <row r="1" spans="1:13" x14ac:dyDescent="0.25">
      <c r="G1" s="311" t="s">
        <v>183</v>
      </c>
      <c r="H1" s="311"/>
      <c r="I1" s="311"/>
      <c r="J1" s="311"/>
      <c r="K1" s="311"/>
    </row>
    <row r="2" spans="1:13" ht="9" customHeight="1" x14ac:dyDescent="0.25">
      <c r="A2" s="91"/>
    </row>
    <row r="3" spans="1:13" ht="61.5" customHeight="1" x14ac:dyDescent="0.25">
      <c r="A3" s="302" t="s">
        <v>382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3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3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3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3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3" ht="145.5" customHeight="1" x14ac:dyDescent="0.25">
      <c r="A8" s="304"/>
      <c r="B8" s="304"/>
      <c r="C8" s="184" t="s">
        <v>173</v>
      </c>
      <c r="D8" s="184" t="s">
        <v>174</v>
      </c>
      <c r="E8" s="184" t="s">
        <v>172</v>
      </c>
      <c r="F8" s="184" t="s">
        <v>175</v>
      </c>
      <c r="G8" s="184" t="s">
        <v>174</v>
      </c>
      <c r="H8" s="184" t="s">
        <v>176</v>
      </c>
      <c r="I8" s="147" t="s">
        <v>177</v>
      </c>
      <c r="J8" s="147" t="s">
        <v>174</v>
      </c>
      <c r="K8" s="147" t="s">
        <v>178</v>
      </c>
    </row>
    <row r="9" spans="1:13" x14ac:dyDescent="0.25">
      <c r="A9" s="184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47">
        <v>9</v>
      </c>
      <c r="J9" s="147">
        <v>10</v>
      </c>
      <c r="K9" s="147">
        <v>11</v>
      </c>
    </row>
    <row r="10" spans="1:13" ht="80.25" customHeight="1" x14ac:dyDescent="0.25">
      <c r="A10" s="93" t="s">
        <v>137</v>
      </c>
      <c r="B10" s="93" t="s">
        <v>167</v>
      </c>
      <c r="C10" s="95" t="e">
        <f>E10/D10*1000</f>
        <v>#REF!</v>
      </c>
      <c r="D10" s="95" t="e">
        <f>#REF!</f>
        <v>#REF!</v>
      </c>
      <c r="E10" s="101" t="e">
        <f>#REF!/1000</f>
        <v>#REF!</v>
      </c>
      <c r="F10" s="95" t="e">
        <f>C10</f>
        <v>#REF!</v>
      </c>
      <c r="G10" s="95" t="e">
        <f>G11</f>
        <v>#REF!</v>
      </c>
      <c r="H10" s="95" t="e">
        <f>F10*G10/1000</f>
        <v>#REF!</v>
      </c>
      <c r="I10" s="99" t="e">
        <f>'П1 0,4 кВт льготн'!I9</f>
        <v>#REF!</v>
      </c>
      <c r="J10" s="99" t="e">
        <f>#REF!</f>
        <v>#REF!</v>
      </c>
      <c r="K10" s="99" t="e">
        <f>I10*$K$23/1000</f>
        <v>#REF!</v>
      </c>
      <c r="M10" s="163"/>
    </row>
    <row r="11" spans="1:13" ht="69" customHeight="1" x14ac:dyDescent="0.25">
      <c r="A11" s="93" t="s">
        <v>138</v>
      </c>
      <c r="B11" s="93" t="s">
        <v>139</v>
      </c>
      <c r="C11" s="95" t="e">
        <f t="shared" ref="C11:C14" si="0">E11/D11*1000</f>
        <v>#REF!</v>
      </c>
      <c r="D11" s="95" t="e">
        <f>D10</f>
        <v>#REF!</v>
      </c>
      <c r="E11" s="101" t="e">
        <f>#REF!</f>
        <v>#REF!</v>
      </c>
      <c r="F11" s="95" t="e">
        <f t="shared" ref="F11:F14" si="1">C11</f>
        <v>#REF!</v>
      </c>
      <c r="G11" s="95" t="e">
        <f>D11</f>
        <v>#REF!</v>
      </c>
      <c r="H11" s="95" t="e">
        <f t="shared" ref="H11:H13" si="2">F11*G11/1000</f>
        <v>#REF!</v>
      </c>
      <c r="I11" s="99" t="e">
        <f>'П1 0,4 кВт льготн'!I10</f>
        <v>#REF!</v>
      </c>
      <c r="J11" s="99" t="e">
        <f>J10</f>
        <v>#REF!</v>
      </c>
      <c r="K11" s="99" t="e">
        <f t="shared" ref="K11:K14" si="3">I11*$K$23/1000</f>
        <v>#REF!</v>
      </c>
    </row>
    <row r="12" spans="1:13" ht="61.5" customHeight="1" x14ac:dyDescent="0.25">
      <c r="A12" s="93" t="s">
        <v>140</v>
      </c>
      <c r="B12" s="93" t="s">
        <v>141</v>
      </c>
      <c r="C12" s="95" t="e">
        <f t="shared" si="0"/>
        <v>#REF!</v>
      </c>
      <c r="D12" s="95" t="e">
        <f t="shared" ref="D12:D14" si="4">D11</f>
        <v>#REF!</v>
      </c>
      <c r="E12" s="101" t="e">
        <f>#REF!</f>
        <v>#REF!</v>
      </c>
      <c r="F12" s="95" t="e">
        <f t="shared" si="1"/>
        <v>#REF!</v>
      </c>
      <c r="G12" s="95" t="e">
        <f t="shared" ref="G12:G14" si="5">D12</f>
        <v>#REF!</v>
      </c>
      <c r="H12" s="95" t="e">
        <f t="shared" si="2"/>
        <v>#REF!</v>
      </c>
      <c r="I12" s="99" t="e">
        <f>'П1 0,4 кВт льготн'!I11</f>
        <v>#REF!</v>
      </c>
      <c r="J12" s="99" t="e">
        <f>J11</f>
        <v>#REF!</v>
      </c>
      <c r="K12" s="99" t="e">
        <f t="shared" si="3"/>
        <v>#REF!</v>
      </c>
    </row>
    <row r="13" spans="1:13" ht="105.75" customHeight="1" x14ac:dyDescent="0.25">
      <c r="A13" s="93" t="s">
        <v>142</v>
      </c>
      <c r="B13" s="93" t="s">
        <v>143</v>
      </c>
      <c r="C13" s="95" t="e">
        <f t="shared" si="0"/>
        <v>#REF!</v>
      </c>
      <c r="D13" s="95" t="e">
        <f t="shared" si="4"/>
        <v>#REF!</v>
      </c>
      <c r="E13" s="101" t="e">
        <f>#REF!</f>
        <v>#REF!</v>
      </c>
      <c r="F13" s="95" t="e">
        <f t="shared" si="1"/>
        <v>#REF!</v>
      </c>
      <c r="G13" s="95" t="e">
        <f t="shared" si="5"/>
        <v>#REF!</v>
      </c>
      <c r="H13" s="95" t="e">
        <f t="shared" si="2"/>
        <v>#REF!</v>
      </c>
      <c r="I13" s="99" t="e">
        <f>'П1 0,4 кВт льготн'!I12</f>
        <v>#REF!</v>
      </c>
      <c r="J13" s="99" t="e">
        <f>J12</f>
        <v>#REF!</v>
      </c>
      <c r="K13" s="99" t="e">
        <f t="shared" si="3"/>
        <v>#REF!</v>
      </c>
    </row>
    <row r="14" spans="1:13" ht="116.25" customHeight="1" x14ac:dyDescent="0.25">
      <c r="A14" s="93" t="s">
        <v>144</v>
      </c>
      <c r="B14" s="93" t="s">
        <v>145</v>
      </c>
      <c r="C14" s="95" t="e">
        <f t="shared" si="0"/>
        <v>#REF!</v>
      </c>
      <c r="D14" s="95" t="e">
        <f t="shared" si="4"/>
        <v>#REF!</v>
      </c>
      <c r="E14" s="101" t="e">
        <f>#REF!</f>
        <v>#REF!</v>
      </c>
      <c r="F14" s="95" t="e">
        <f t="shared" si="1"/>
        <v>#REF!</v>
      </c>
      <c r="G14" s="95" t="e">
        <f t="shared" si="5"/>
        <v>#REF!</v>
      </c>
      <c r="H14" s="95" t="e">
        <f>F14*G14/1000</f>
        <v>#REF!</v>
      </c>
      <c r="I14" s="99">
        <f>'П1 0,4 кВт льготн'!I13</f>
        <v>0</v>
      </c>
      <c r="J14" s="99" t="e">
        <f>J13</f>
        <v>#REF!</v>
      </c>
      <c r="K14" s="99" t="e">
        <f t="shared" si="3"/>
        <v>#REF!</v>
      </c>
    </row>
    <row r="15" spans="1:13" ht="73.5" customHeight="1" x14ac:dyDescent="0.25">
      <c r="A15" s="93" t="s">
        <v>146</v>
      </c>
      <c r="B15" s="93" t="s">
        <v>168</v>
      </c>
      <c r="C15" s="184" t="s">
        <v>147</v>
      </c>
      <c r="D15" s="184" t="s">
        <v>147</v>
      </c>
      <c r="E15" s="99" t="e">
        <f>E16</f>
        <v>#REF!</v>
      </c>
      <c r="F15" s="184" t="s">
        <v>147</v>
      </c>
      <c r="G15" s="184" t="s">
        <v>147</v>
      </c>
      <c r="H15" s="96">
        <f>H16</f>
        <v>0</v>
      </c>
      <c r="I15" s="99" t="s">
        <v>147</v>
      </c>
      <c r="J15" s="99" t="s">
        <v>147</v>
      </c>
      <c r="K15" s="99" t="e">
        <f>K16+K17+K18+K19+K20</f>
        <v>#REF!</v>
      </c>
    </row>
    <row r="16" spans="1:13" ht="49.5" customHeight="1" x14ac:dyDescent="0.25">
      <c r="A16" s="93" t="s">
        <v>148</v>
      </c>
      <c r="B16" s="93" t="s">
        <v>149</v>
      </c>
      <c r="C16" s="96">
        <v>0</v>
      </c>
      <c r="D16" s="95">
        <v>0</v>
      </c>
      <c r="E16" s="96" t="e">
        <f>#REF!</f>
        <v>#REF!</v>
      </c>
      <c r="F16" s="96">
        <v>0</v>
      </c>
      <c r="G16" s="96">
        <f>D16</f>
        <v>0</v>
      </c>
      <c r="H16" s="96">
        <f>F16*G16/1000</f>
        <v>0</v>
      </c>
      <c r="I16" s="164" t="e">
        <f>#REF!</f>
        <v>#REF!</v>
      </c>
      <c r="J16" s="251" t="e">
        <f>#REF!</f>
        <v>#REF!</v>
      </c>
      <c r="K16" s="99" t="e">
        <f>I16*J16/1000</f>
        <v>#REF!</v>
      </c>
      <c r="M16" s="199"/>
    </row>
    <row r="17" spans="1:14" ht="49.5" customHeight="1" x14ac:dyDescent="0.25">
      <c r="A17" s="93" t="s">
        <v>150</v>
      </c>
      <c r="B17" s="93" t="s">
        <v>151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29">
        <v>0</v>
      </c>
      <c r="J17" s="129">
        <v>0</v>
      </c>
      <c r="K17" s="129">
        <v>0</v>
      </c>
      <c r="M17" s="144"/>
    </row>
    <row r="18" spans="1:14" ht="49.5" customHeight="1" x14ac:dyDescent="0.25">
      <c r="A18" s="93" t="s">
        <v>152</v>
      </c>
      <c r="B18" s="93" t="s">
        <v>153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29">
        <v>0</v>
      </c>
      <c r="J18" s="129">
        <v>0</v>
      </c>
      <c r="K18" s="129">
        <v>0</v>
      </c>
      <c r="N18" s="144"/>
    </row>
    <row r="19" spans="1:14" ht="99.75" customHeight="1" x14ac:dyDescent="0.25">
      <c r="A19" s="93" t="s">
        <v>154</v>
      </c>
      <c r="B19" s="93" t="s">
        <v>155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29">
        <v>0</v>
      </c>
      <c r="J19" s="129">
        <v>0</v>
      </c>
      <c r="K19" s="129">
        <v>0</v>
      </c>
    </row>
    <row r="20" spans="1:14" ht="72.75" customHeight="1" x14ac:dyDescent="0.25">
      <c r="A20" s="93" t="s">
        <v>156</v>
      </c>
      <c r="B20" s="93" t="s">
        <v>157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47">
        <v>0</v>
      </c>
      <c r="J20" s="147">
        <v>0</v>
      </c>
      <c r="K20" s="147">
        <v>0</v>
      </c>
    </row>
    <row r="21" spans="1:14" ht="62.25" customHeight="1" x14ac:dyDescent="0.25">
      <c r="A21" s="93" t="s">
        <v>158</v>
      </c>
      <c r="B21" s="93" t="s">
        <v>169</v>
      </c>
      <c r="C21" s="184" t="s">
        <v>147</v>
      </c>
      <c r="D21" s="184" t="s">
        <v>147</v>
      </c>
      <c r="E21" s="101" t="e">
        <f>E22*E23/1000</f>
        <v>#REF!</v>
      </c>
      <c r="F21" s="184" t="s">
        <v>147</v>
      </c>
      <c r="G21" s="184" t="s">
        <v>147</v>
      </c>
      <c r="H21" s="95" t="e">
        <f>H22*H23/1000</f>
        <v>#REF!</v>
      </c>
      <c r="I21" s="147" t="s">
        <v>147</v>
      </c>
      <c r="J21" s="147" t="s">
        <v>147</v>
      </c>
      <c r="K21" s="99" t="e">
        <f>K22*K23/1000</f>
        <v>#REF!</v>
      </c>
    </row>
    <row r="22" spans="1:14" ht="40.5" customHeight="1" x14ac:dyDescent="0.25">
      <c r="A22" s="93" t="s">
        <v>159</v>
      </c>
      <c r="B22" s="93" t="s">
        <v>160</v>
      </c>
      <c r="C22" s="184" t="s">
        <v>147</v>
      </c>
      <c r="D22" s="184" t="s">
        <v>147</v>
      </c>
      <c r="E22" s="99" t="e">
        <f>(E10)/#REF!*1000</f>
        <v>#REF!</v>
      </c>
      <c r="F22" s="147" t="s">
        <v>147</v>
      </c>
      <c r="G22" s="147" t="s">
        <v>147</v>
      </c>
      <c r="H22" s="99" t="e">
        <f>E22</f>
        <v>#REF!</v>
      </c>
      <c r="I22" s="147" t="s">
        <v>147</v>
      </c>
      <c r="J22" s="147" t="s">
        <v>147</v>
      </c>
      <c r="K22" s="99" t="e">
        <f>K10*1000/K23</f>
        <v>#REF!</v>
      </c>
      <c r="L22" s="144"/>
    </row>
    <row r="23" spans="1:14" ht="161.25" customHeight="1" x14ac:dyDescent="0.25">
      <c r="A23" s="93" t="s">
        <v>161</v>
      </c>
      <c r="B23" s="93" t="s">
        <v>170</v>
      </c>
      <c r="C23" s="184" t="s">
        <v>147</v>
      </c>
      <c r="D23" s="184" t="s">
        <v>147</v>
      </c>
      <c r="E23" s="184" t="e">
        <f>#REF!</f>
        <v>#REF!</v>
      </c>
      <c r="F23" s="184" t="s">
        <v>147</v>
      </c>
      <c r="G23" s="184" t="s">
        <v>147</v>
      </c>
      <c r="H23" s="184" t="e">
        <f>E23</f>
        <v>#REF!</v>
      </c>
      <c r="I23" s="147" t="s">
        <v>147</v>
      </c>
      <c r="J23" s="147" t="s">
        <v>147</v>
      </c>
      <c r="K23" s="143" t="e">
        <f>#REF!</f>
        <v>#REF!</v>
      </c>
    </row>
    <row r="24" spans="1:14" ht="98.25" customHeight="1" x14ac:dyDescent="0.25">
      <c r="A24" s="93" t="s">
        <v>162</v>
      </c>
      <c r="B24" s="93" t="s">
        <v>171</v>
      </c>
      <c r="C24" s="184" t="s">
        <v>147</v>
      </c>
      <c r="D24" s="184" t="s">
        <v>147</v>
      </c>
      <c r="E24" s="96" t="e">
        <f>E10+E15-E21</f>
        <v>#REF!</v>
      </c>
      <c r="F24" s="184" t="s">
        <v>147</v>
      </c>
      <c r="G24" s="184" t="s">
        <v>147</v>
      </c>
      <c r="H24" s="96" t="e">
        <f>H10+H15-H21</f>
        <v>#REF!</v>
      </c>
      <c r="I24" s="147" t="s">
        <v>147</v>
      </c>
      <c r="J24" s="147" t="s">
        <v>147</v>
      </c>
      <c r="K24" s="99" t="e">
        <f>K10+K15-K21</f>
        <v>#REF!</v>
      </c>
    </row>
    <row r="29" spans="1:14" ht="20.25" x14ac:dyDescent="0.3">
      <c r="A29" s="83" t="str">
        <f>'Информация о тех. прис.'!A56</f>
        <v>Директор ООО "Трансэнерго"</v>
      </c>
      <c r="B29" s="83"/>
      <c r="C29" s="83"/>
      <c r="D29" s="83"/>
      <c r="E29" s="83"/>
      <c r="F29" s="83"/>
      <c r="G29" s="83"/>
      <c r="H29" s="83"/>
      <c r="J29" s="318" t="s">
        <v>166</v>
      </c>
      <c r="K29" s="318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rowBreaks count="1" manualBreakCount="1">
    <brk id="1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29"/>
  <sheetViews>
    <sheetView view="pageBreakPreview" topLeftCell="A20" zoomScale="60" zoomScaleNormal="69" workbookViewId="0">
      <selection activeCell="C16" sqref="C16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3.5703125" style="87" customWidth="1"/>
    <col min="5" max="5" width="21.42578125" style="87" customWidth="1"/>
    <col min="6" max="7" width="13" style="87" customWidth="1"/>
    <col min="8" max="8" width="13.42578125" style="87" customWidth="1"/>
    <col min="9" max="9" width="16.85546875" style="103" customWidth="1"/>
    <col min="10" max="10" width="13.140625" style="103" customWidth="1"/>
    <col min="11" max="11" width="11.85546875" style="103" bestFit="1" customWidth="1"/>
    <col min="12" max="12" width="9.140625" style="87"/>
    <col min="13" max="13" width="19.7109375" style="87" customWidth="1"/>
    <col min="14" max="16384" width="9.140625" style="87"/>
  </cols>
  <sheetData>
    <row r="1" spans="1:14" x14ac:dyDescent="0.25">
      <c r="G1" s="311" t="s">
        <v>183</v>
      </c>
      <c r="H1" s="311"/>
      <c r="I1" s="311"/>
      <c r="J1" s="311"/>
      <c r="K1" s="311"/>
    </row>
    <row r="2" spans="1:14" ht="9" customHeight="1" x14ac:dyDescent="0.25">
      <c r="A2" s="91"/>
    </row>
    <row r="3" spans="1:14" ht="61.5" customHeight="1" x14ac:dyDescent="0.25">
      <c r="A3" s="302" t="s">
        <v>381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4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4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4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4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4" ht="117" customHeight="1" x14ac:dyDescent="0.25">
      <c r="A8" s="304"/>
      <c r="B8" s="304"/>
      <c r="C8" s="184" t="s">
        <v>173</v>
      </c>
      <c r="D8" s="184" t="s">
        <v>174</v>
      </c>
      <c r="E8" s="184" t="s">
        <v>370</v>
      </c>
      <c r="F8" s="184" t="s">
        <v>175</v>
      </c>
      <c r="G8" s="184" t="s">
        <v>174</v>
      </c>
      <c r="H8" s="184" t="s">
        <v>176</v>
      </c>
      <c r="I8" s="147" t="s">
        <v>177</v>
      </c>
      <c r="J8" s="147" t="s">
        <v>174</v>
      </c>
      <c r="K8" s="147" t="s">
        <v>178</v>
      </c>
    </row>
    <row r="9" spans="1:14" x14ac:dyDescent="0.25">
      <c r="A9" s="184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47">
        <v>9</v>
      </c>
      <c r="J9" s="147">
        <v>10</v>
      </c>
      <c r="K9" s="147">
        <v>11</v>
      </c>
    </row>
    <row r="10" spans="1:14" ht="80.25" customHeight="1" x14ac:dyDescent="0.25">
      <c r="A10" s="93" t="s">
        <v>137</v>
      </c>
      <c r="B10" s="93" t="s">
        <v>167</v>
      </c>
      <c r="C10" s="95" t="e">
        <f>E10/D10*1000</f>
        <v>#REF!</v>
      </c>
      <c r="D10" s="95" t="e">
        <f>#REF!</f>
        <v>#REF!</v>
      </c>
      <c r="E10" s="101" t="e">
        <f>#REF!/1000</f>
        <v>#REF!</v>
      </c>
      <c r="F10" s="95" t="e">
        <f>C10</f>
        <v>#REF!</v>
      </c>
      <c r="G10" s="95" t="e">
        <f>D10</f>
        <v>#REF!</v>
      </c>
      <c r="H10" s="95" t="e">
        <f>F10*G10/1000</f>
        <v>#REF!</v>
      </c>
      <c r="I10" s="99">
        <v>0</v>
      </c>
      <c r="J10" s="99">
        <v>0</v>
      </c>
      <c r="K10" s="99">
        <f>I10*$K$23/1000</f>
        <v>0</v>
      </c>
      <c r="M10" s="163"/>
    </row>
    <row r="11" spans="1:14" ht="69" customHeight="1" x14ac:dyDescent="0.25">
      <c r="A11" s="93" t="s">
        <v>138</v>
      </c>
      <c r="B11" s="93" t="s">
        <v>139</v>
      </c>
      <c r="C11" s="95" t="e">
        <f t="shared" ref="C11:C14" si="0">E11/D11*1000</f>
        <v>#REF!</v>
      </c>
      <c r="D11" s="95" t="e">
        <f>D10</f>
        <v>#REF!</v>
      </c>
      <c r="E11" s="101" t="e">
        <f>#REF!</f>
        <v>#REF!</v>
      </c>
      <c r="F11" s="95" t="e">
        <f t="shared" ref="F11:F14" si="1">C11</f>
        <v>#REF!</v>
      </c>
      <c r="G11" s="95" t="e">
        <f t="shared" ref="G11:G14" si="2">D11</f>
        <v>#REF!</v>
      </c>
      <c r="H11" s="95" t="e">
        <f t="shared" ref="H11:H14" si="3">F11*G11/1000</f>
        <v>#REF!</v>
      </c>
      <c r="I11" s="99">
        <v>0</v>
      </c>
      <c r="J11" s="99">
        <v>0</v>
      </c>
      <c r="K11" s="99">
        <f t="shared" ref="K11:K14" si="4">I11*$K$23/1000</f>
        <v>0</v>
      </c>
    </row>
    <row r="12" spans="1:14" ht="61.5" customHeight="1" x14ac:dyDescent="0.25">
      <c r="A12" s="93" t="s">
        <v>140</v>
      </c>
      <c r="B12" s="93" t="s">
        <v>141</v>
      </c>
      <c r="C12" s="95" t="e">
        <f t="shared" si="0"/>
        <v>#REF!</v>
      </c>
      <c r="D12" s="95" t="e">
        <f t="shared" ref="D12:D14" si="5">D11</f>
        <v>#REF!</v>
      </c>
      <c r="E12" s="101" t="e">
        <f>#REF!</f>
        <v>#REF!</v>
      </c>
      <c r="F12" s="95" t="e">
        <f t="shared" si="1"/>
        <v>#REF!</v>
      </c>
      <c r="G12" s="95" t="e">
        <f t="shared" si="2"/>
        <v>#REF!</v>
      </c>
      <c r="H12" s="95" t="e">
        <f t="shared" si="3"/>
        <v>#REF!</v>
      </c>
      <c r="I12" s="99">
        <v>0</v>
      </c>
      <c r="J12" s="99">
        <v>0</v>
      </c>
      <c r="K12" s="99">
        <f t="shared" si="4"/>
        <v>0</v>
      </c>
    </row>
    <row r="13" spans="1:14" ht="105.75" customHeight="1" x14ac:dyDescent="0.25">
      <c r="A13" s="93" t="s">
        <v>142</v>
      </c>
      <c r="B13" s="93" t="s">
        <v>143</v>
      </c>
      <c r="C13" s="95" t="e">
        <f t="shared" si="0"/>
        <v>#REF!</v>
      </c>
      <c r="D13" s="95" t="e">
        <f t="shared" si="5"/>
        <v>#REF!</v>
      </c>
      <c r="E13" s="101" t="e">
        <f>#REF!</f>
        <v>#REF!</v>
      </c>
      <c r="F13" s="95" t="e">
        <f t="shared" si="1"/>
        <v>#REF!</v>
      </c>
      <c r="G13" s="95" t="e">
        <f t="shared" si="2"/>
        <v>#REF!</v>
      </c>
      <c r="H13" s="95" t="e">
        <f t="shared" si="3"/>
        <v>#REF!</v>
      </c>
      <c r="I13" s="99" t="e">
        <f>'П1 0,4 кВт льготн'!I12</f>
        <v>#REF!</v>
      </c>
      <c r="J13" s="99">
        <f>J12</f>
        <v>0</v>
      </c>
      <c r="K13" s="99" t="e">
        <f t="shared" si="4"/>
        <v>#REF!</v>
      </c>
    </row>
    <row r="14" spans="1:14" ht="116.25" customHeight="1" x14ac:dyDescent="0.25">
      <c r="A14" s="93" t="s">
        <v>144</v>
      </c>
      <c r="B14" s="93" t="s">
        <v>145</v>
      </c>
      <c r="C14" s="95" t="e">
        <f t="shared" si="0"/>
        <v>#REF!</v>
      </c>
      <c r="D14" s="95" t="e">
        <f t="shared" si="5"/>
        <v>#REF!</v>
      </c>
      <c r="E14" s="101" t="e">
        <f>#REF!</f>
        <v>#REF!</v>
      </c>
      <c r="F14" s="95" t="e">
        <f t="shared" si="1"/>
        <v>#REF!</v>
      </c>
      <c r="G14" s="95" t="e">
        <f t="shared" si="2"/>
        <v>#REF!</v>
      </c>
      <c r="H14" s="95" t="e">
        <f t="shared" si="3"/>
        <v>#REF!</v>
      </c>
      <c r="I14" s="99">
        <f>'П1 0,4 кВт льготн'!I13</f>
        <v>0</v>
      </c>
      <c r="J14" s="99">
        <f>J13</f>
        <v>0</v>
      </c>
      <c r="K14" s="99">
        <f t="shared" si="4"/>
        <v>0</v>
      </c>
    </row>
    <row r="15" spans="1:14" ht="73.5" customHeight="1" x14ac:dyDescent="0.25">
      <c r="A15" s="93" t="s">
        <v>146</v>
      </c>
      <c r="B15" s="93" t="s">
        <v>168</v>
      </c>
      <c r="C15" s="184" t="s">
        <v>147</v>
      </c>
      <c r="D15" s="184" t="s">
        <v>147</v>
      </c>
      <c r="E15" s="99" t="e">
        <f>E16</f>
        <v>#REF!</v>
      </c>
      <c r="F15" s="184" t="s">
        <v>147</v>
      </c>
      <c r="G15" s="184" t="s">
        <v>147</v>
      </c>
      <c r="H15" s="96" t="e">
        <f>H16</f>
        <v>#REF!</v>
      </c>
      <c r="I15" s="99" t="s">
        <v>147</v>
      </c>
      <c r="J15" s="99" t="s">
        <v>147</v>
      </c>
      <c r="K15" s="99">
        <v>0</v>
      </c>
    </row>
    <row r="16" spans="1:14" ht="49.5" customHeight="1" x14ac:dyDescent="0.25">
      <c r="A16" s="93" t="s">
        <v>148</v>
      </c>
      <c r="B16" s="93" t="s">
        <v>149</v>
      </c>
      <c r="C16" s="96" t="e">
        <f>E16/D16*1000</f>
        <v>#REF!</v>
      </c>
      <c r="D16" s="184" t="e">
        <f>#REF!</f>
        <v>#REF!</v>
      </c>
      <c r="E16" s="96" t="e">
        <f>#REF!/1000</f>
        <v>#REF!</v>
      </c>
      <c r="F16" s="96" t="e">
        <f>C16</f>
        <v>#REF!</v>
      </c>
      <c r="G16" s="102" t="e">
        <f>D16</f>
        <v>#REF!</v>
      </c>
      <c r="H16" s="96" t="e">
        <f>F16*G16/1000</f>
        <v>#REF!</v>
      </c>
      <c r="I16" s="164">
        <v>0</v>
      </c>
      <c r="J16" s="150">
        <v>0</v>
      </c>
      <c r="K16" s="99">
        <f>I16*J16/1000</f>
        <v>0</v>
      </c>
      <c r="M16" s="190"/>
      <c r="N16" s="190"/>
    </row>
    <row r="17" spans="1:13" ht="49.5" customHeight="1" x14ac:dyDescent="0.25">
      <c r="A17" s="93" t="s">
        <v>150</v>
      </c>
      <c r="B17" s="93" t="s">
        <v>151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29">
        <v>0</v>
      </c>
      <c r="J17" s="129">
        <v>0</v>
      </c>
      <c r="K17" s="129">
        <v>0</v>
      </c>
      <c r="M17" s="234"/>
    </row>
    <row r="18" spans="1:13" ht="49.5" customHeight="1" x14ac:dyDescent="0.25">
      <c r="A18" s="93" t="s">
        <v>152</v>
      </c>
      <c r="B18" s="93" t="s">
        <v>153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29">
        <v>0</v>
      </c>
      <c r="J18" s="129">
        <v>0</v>
      </c>
      <c r="K18" s="129">
        <v>0</v>
      </c>
    </row>
    <row r="19" spans="1:13" ht="99.75" customHeight="1" x14ac:dyDescent="0.25">
      <c r="A19" s="93" t="s">
        <v>154</v>
      </c>
      <c r="B19" s="93" t="s">
        <v>155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29">
        <v>0</v>
      </c>
      <c r="J19" s="129">
        <v>0</v>
      </c>
      <c r="K19" s="129">
        <v>0</v>
      </c>
    </row>
    <row r="20" spans="1:13" ht="72.75" customHeight="1" x14ac:dyDescent="0.25">
      <c r="A20" s="93" t="s">
        <v>156</v>
      </c>
      <c r="B20" s="93" t="s">
        <v>157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47">
        <v>0</v>
      </c>
      <c r="J20" s="147">
        <v>0</v>
      </c>
      <c r="K20" s="147">
        <v>0</v>
      </c>
    </row>
    <row r="21" spans="1:13" ht="62.25" customHeight="1" x14ac:dyDescent="0.25">
      <c r="A21" s="93" t="s">
        <v>158</v>
      </c>
      <c r="B21" s="93" t="s">
        <v>169</v>
      </c>
      <c r="C21" s="184" t="s">
        <v>147</v>
      </c>
      <c r="D21" s="184" t="s">
        <v>147</v>
      </c>
      <c r="E21" s="99" t="e">
        <f>E22*E23/1000</f>
        <v>#REF!</v>
      </c>
      <c r="F21" s="184" t="s">
        <v>147</v>
      </c>
      <c r="G21" s="184" t="s">
        <v>147</v>
      </c>
      <c r="H21" s="95" t="e">
        <f>H22*H23/1000</f>
        <v>#REF!</v>
      </c>
      <c r="I21" s="147" t="s">
        <v>147</v>
      </c>
      <c r="J21" s="147" t="s">
        <v>147</v>
      </c>
      <c r="K21" s="99">
        <v>0</v>
      </c>
    </row>
    <row r="22" spans="1:13" ht="40.5" customHeight="1" x14ac:dyDescent="0.25">
      <c r="A22" s="93" t="s">
        <v>159</v>
      </c>
      <c r="B22" s="93" t="s">
        <v>160</v>
      </c>
      <c r="C22" s="184" t="s">
        <v>147</v>
      </c>
      <c r="D22" s="184" t="s">
        <v>147</v>
      </c>
      <c r="E22" s="99" t="e">
        <f>(E10+E15)/#REF!*1000</f>
        <v>#REF!</v>
      </c>
      <c r="F22" s="147" t="s">
        <v>147</v>
      </c>
      <c r="G22" s="147" t="s">
        <v>147</v>
      </c>
      <c r="H22" s="99" t="e">
        <f>(H10+H15)/#REF!*1000</f>
        <v>#REF!</v>
      </c>
      <c r="I22" s="147" t="s">
        <v>147</v>
      </c>
      <c r="J22" s="147" t="s">
        <v>147</v>
      </c>
      <c r="K22" s="99">
        <v>0</v>
      </c>
      <c r="L22" s="144"/>
    </row>
    <row r="23" spans="1:13" ht="161.25" customHeight="1" x14ac:dyDescent="0.25">
      <c r="A23" s="93" t="s">
        <v>161</v>
      </c>
      <c r="B23" s="93" t="s">
        <v>170</v>
      </c>
      <c r="C23" s="184" t="s">
        <v>147</v>
      </c>
      <c r="D23" s="184" t="s">
        <v>147</v>
      </c>
      <c r="E23" s="184" t="e">
        <f>#REF!</f>
        <v>#REF!</v>
      </c>
      <c r="F23" s="184" t="s">
        <v>147</v>
      </c>
      <c r="G23" s="184" t="s">
        <v>147</v>
      </c>
      <c r="H23" s="184" t="e">
        <f>E23</f>
        <v>#REF!</v>
      </c>
      <c r="I23" s="147" t="s">
        <v>147</v>
      </c>
      <c r="J23" s="147" t="s">
        <v>147</v>
      </c>
      <c r="K23" s="143">
        <v>0</v>
      </c>
    </row>
    <row r="24" spans="1:13" ht="98.25" customHeight="1" x14ac:dyDescent="0.25">
      <c r="A24" s="93" t="s">
        <v>162</v>
      </c>
      <c r="B24" s="93" t="s">
        <v>171</v>
      </c>
      <c r="C24" s="184" t="s">
        <v>147</v>
      </c>
      <c r="D24" s="184" t="s">
        <v>147</v>
      </c>
      <c r="E24" s="96" t="e">
        <f>E10+E15-E21</f>
        <v>#REF!</v>
      </c>
      <c r="F24" s="184" t="s">
        <v>147</v>
      </c>
      <c r="G24" s="184" t="s">
        <v>147</v>
      </c>
      <c r="H24" s="96" t="e">
        <f>H10+H15-H21</f>
        <v>#REF!</v>
      </c>
      <c r="I24" s="147" t="s">
        <v>147</v>
      </c>
      <c r="J24" s="147" t="s">
        <v>147</v>
      </c>
      <c r="K24" s="99">
        <f>K10+K15-K21</f>
        <v>0</v>
      </c>
    </row>
    <row r="29" spans="1:13" ht="20.25" x14ac:dyDescent="0.3">
      <c r="A29" s="83" t="str">
        <f>'Информация о тех. прис.'!A56</f>
        <v>Директор ООО "Трансэнерго"</v>
      </c>
      <c r="B29" s="83"/>
      <c r="C29" s="83"/>
      <c r="D29" s="83"/>
      <c r="E29" s="83"/>
      <c r="F29" s="83"/>
      <c r="G29" s="83"/>
      <c r="H29" s="83"/>
      <c r="J29" s="318" t="s">
        <v>166</v>
      </c>
      <c r="K29" s="318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rowBreaks count="1" manualBreakCount="1">
    <brk id="1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9"/>
  <sheetViews>
    <sheetView topLeftCell="A20" zoomScale="73" zoomScaleNormal="73" workbookViewId="0">
      <selection activeCell="E24" sqref="E24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3.5703125" style="87" customWidth="1"/>
    <col min="5" max="5" width="13.42578125" style="87" customWidth="1"/>
    <col min="6" max="7" width="13" style="87" customWidth="1"/>
    <col min="8" max="8" width="12" style="87" customWidth="1"/>
    <col min="9" max="9" width="16.85546875" style="103" customWidth="1"/>
    <col min="10" max="10" width="13.140625" style="103" customWidth="1"/>
    <col min="11" max="11" width="11.85546875" style="103" bestFit="1" customWidth="1"/>
    <col min="12" max="12" width="9.140625" style="87"/>
    <col min="13" max="13" width="13" style="87" customWidth="1"/>
    <col min="14" max="16384" width="9.140625" style="87"/>
  </cols>
  <sheetData>
    <row r="1" spans="1:15" x14ac:dyDescent="0.25">
      <c r="G1" s="311" t="s">
        <v>183</v>
      </c>
      <c r="H1" s="311"/>
      <c r="I1" s="311"/>
      <c r="J1" s="311"/>
      <c r="K1" s="311"/>
    </row>
    <row r="2" spans="1:15" ht="9" customHeight="1" x14ac:dyDescent="0.25">
      <c r="A2" s="91"/>
    </row>
    <row r="3" spans="1:15" ht="61.5" customHeight="1" x14ac:dyDescent="0.25">
      <c r="A3" s="302" t="s">
        <v>331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5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5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5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5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5" ht="145.5" customHeight="1" x14ac:dyDescent="0.25">
      <c r="A8" s="304"/>
      <c r="B8" s="304"/>
      <c r="C8" s="184" t="s">
        <v>173</v>
      </c>
      <c r="D8" s="184" t="s">
        <v>174</v>
      </c>
      <c r="E8" s="184" t="s">
        <v>172</v>
      </c>
      <c r="F8" s="184" t="s">
        <v>175</v>
      </c>
      <c r="G8" s="184" t="s">
        <v>174</v>
      </c>
      <c r="H8" s="184" t="s">
        <v>176</v>
      </c>
      <c r="I8" s="147" t="s">
        <v>177</v>
      </c>
      <c r="J8" s="147" t="s">
        <v>174</v>
      </c>
      <c r="K8" s="147" t="s">
        <v>178</v>
      </c>
    </row>
    <row r="9" spans="1:15" x14ac:dyDescent="0.25">
      <c r="A9" s="184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47">
        <v>9</v>
      </c>
      <c r="J9" s="147">
        <v>10</v>
      </c>
      <c r="K9" s="147">
        <v>11</v>
      </c>
    </row>
    <row r="10" spans="1:15" ht="80.25" customHeight="1" x14ac:dyDescent="0.25">
      <c r="A10" s="93" t="s">
        <v>137</v>
      </c>
      <c r="B10" s="93" t="s">
        <v>167</v>
      </c>
      <c r="C10" s="95" t="e">
        <f>#REF!</f>
        <v>#REF!</v>
      </c>
      <c r="D10" s="95" t="e">
        <f>#REF!</f>
        <v>#REF!</v>
      </c>
      <c r="E10" s="101" t="e">
        <f>C10*D10/1000</f>
        <v>#REF!</v>
      </c>
      <c r="F10" s="95" t="e">
        <f>C10</f>
        <v>#REF!</v>
      </c>
      <c r="G10" s="95" t="e">
        <f>G11</f>
        <v>#REF!</v>
      </c>
      <c r="H10" s="95" t="e">
        <f>F10*G10/1000</f>
        <v>#REF!</v>
      </c>
      <c r="I10" s="99" t="e">
        <f>'П1 0,4 кВт льготн'!I9</f>
        <v>#REF!</v>
      </c>
      <c r="J10" s="99" t="e">
        <f>#REF!</f>
        <v>#REF!</v>
      </c>
      <c r="K10" s="99" t="e">
        <f>I10*$K$23/1000</f>
        <v>#REF!</v>
      </c>
      <c r="M10" s="163" t="e">
        <f>E10-#REF!</f>
        <v>#REF!</v>
      </c>
    </row>
    <row r="11" spans="1:15" ht="69" customHeight="1" x14ac:dyDescent="0.25">
      <c r="A11" s="93" t="s">
        <v>138</v>
      </c>
      <c r="B11" s="93" t="s">
        <v>139</v>
      </c>
      <c r="C11" s="95" t="e">
        <f>#REF!</f>
        <v>#REF!</v>
      </c>
      <c r="D11" s="95" t="e">
        <f>D10</f>
        <v>#REF!</v>
      </c>
      <c r="E11" s="95" t="e">
        <f>C11*D11/1000</f>
        <v>#REF!</v>
      </c>
      <c r="F11" s="95" t="e">
        <f t="shared" ref="F11:G14" si="0">C11</f>
        <v>#REF!</v>
      </c>
      <c r="G11" s="95" t="e">
        <f>D11</f>
        <v>#REF!</v>
      </c>
      <c r="H11" s="95" t="e">
        <f t="shared" ref="H11:H13" si="1">F11*G11/1000</f>
        <v>#REF!</v>
      </c>
      <c r="I11" s="99" t="e">
        <f>'П1 0,4 кВт льготн'!I10</f>
        <v>#REF!</v>
      </c>
      <c r="J11" s="99" t="e">
        <f>J10</f>
        <v>#REF!</v>
      </c>
      <c r="K11" s="99" t="e">
        <f t="shared" ref="K11:K14" si="2">I11*$K$23/1000</f>
        <v>#REF!</v>
      </c>
    </row>
    <row r="12" spans="1:15" ht="61.5" customHeight="1" x14ac:dyDescent="0.25">
      <c r="A12" s="93" t="s">
        <v>140</v>
      </c>
      <c r="B12" s="93" t="s">
        <v>141</v>
      </c>
      <c r="C12" s="95" t="e">
        <f>#REF!</f>
        <v>#REF!</v>
      </c>
      <c r="D12" s="95" t="e">
        <f t="shared" ref="D12:D14" si="3">D11</f>
        <v>#REF!</v>
      </c>
      <c r="E12" s="95" t="e">
        <f>C12*D12/1000</f>
        <v>#REF!</v>
      </c>
      <c r="F12" s="95" t="e">
        <f t="shared" si="0"/>
        <v>#REF!</v>
      </c>
      <c r="G12" s="95" t="e">
        <f t="shared" si="0"/>
        <v>#REF!</v>
      </c>
      <c r="H12" s="95" t="e">
        <f t="shared" si="1"/>
        <v>#REF!</v>
      </c>
      <c r="I12" s="99" t="e">
        <f>'П1 0,4 кВт льготн'!I11</f>
        <v>#REF!</v>
      </c>
      <c r="J12" s="99" t="e">
        <f>J11</f>
        <v>#REF!</v>
      </c>
      <c r="K12" s="99" t="e">
        <f t="shared" si="2"/>
        <v>#REF!</v>
      </c>
    </row>
    <row r="13" spans="1:15" ht="105.75" customHeight="1" x14ac:dyDescent="0.25">
      <c r="A13" s="93" t="s">
        <v>142</v>
      </c>
      <c r="B13" s="93" t="s">
        <v>143</v>
      </c>
      <c r="C13" s="95" t="e">
        <f>#REF!</f>
        <v>#REF!</v>
      </c>
      <c r="D13" s="95" t="e">
        <f t="shared" si="3"/>
        <v>#REF!</v>
      </c>
      <c r="E13" s="95" t="e">
        <f>C13*D13/1000</f>
        <v>#REF!</v>
      </c>
      <c r="F13" s="95" t="e">
        <f t="shared" si="0"/>
        <v>#REF!</v>
      </c>
      <c r="G13" s="95" t="e">
        <f t="shared" si="0"/>
        <v>#REF!</v>
      </c>
      <c r="H13" s="95" t="e">
        <f t="shared" si="1"/>
        <v>#REF!</v>
      </c>
      <c r="I13" s="99" t="e">
        <f>'П1 0,4 кВт льготн'!I12</f>
        <v>#REF!</v>
      </c>
      <c r="J13" s="99" t="e">
        <f>J12</f>
        <v>#REF!</v>
      </c>
      <c r="K13" s="99" t="e">
        <f t="shared" si="2"/>
        <v>#REF!</v>
      </c>
    </row>
    <row r="14" spans="1:15" ht="116.25" customHeight="1" x14ac:dyDescent="0.25">
      <c r="A14" s="93" t="s">
        <v>144</v>
      </c>
      <c r="B14" s="93" t="s">
        <v>145</v>
      </c>
      <c r="C14" s="95" t="e">
        <f>#REF!</f>
        <v>#REF!</v>
      </c>
      <c r="D14" s="95" t="e">
        <f t="shared" si="3"/>
        <v>#REF!</v>
      </c>
      <c r="E14" s="95" t="e">
        <f>C14*D14/1000</f>
        <v>#REF!</v>
      </c>
      <c r="F14" s="95" t="e">
        <f t="shared" si="0"/>
        <v>#REF!</v>
      </c>
      <c r="G14" s="95" t="e">
        <f t="shared" si="0"/>
        <v>#REF!</v>
      </c>
      <c r="H14" s="95" t="e">
        <f>F14*G14/1000</f>
        <v>#REF!</v>
      </c>
      <c r="I14" s="99">
        <f>'П1 0,4 кВт льготн'!I13</f>
        <v>0</v>
      </c>
      <c r="J14" s="99" t="e">
        <f>J13</f>
        <v>#REF!</v>
      </c>
      <c r="K14" s="99" t="e">
        <f t="shared" si="2"/>
        <v>#REF!</v>
      </c>
    </row>
    <row r="15" spans="1:15" ht="73.5" customHeight="1" x14ac:dyDescent="0.25">
      <c r="A15" s="93" t="s">
        <v>146</v>
      </c>
      <c r="B15" s="93" t="s">
        <v>168</v>
      </c>
      <c r="C15" s="184" t="s">
        <v>147</v>
      </c>
      <c r="D15" s="184" t="s">
        <v>147</v>
      </c>
      <c r="E15" s="99" t="e">
        <f>E16</f>
        <v>#REF!</v>
      </c>
      <c r="F15" s="184" t="s">
        <v>147</v>
      </c>
      <c r="G15" s="184" t="s">
        <v>147</v>
      </c>
      <c r="H15" s="96" t="e">
        <f>H16</f>
        <v>#REF!</v>
      </c>
      <c r="I15" s="99" t="s">
        <v>147</v>
      </c>
      <c r="J15" s="99" t="s">
        <v>147</v>
      </c>
      <c r="K15" s="99" t="e">
        <f>K16+K17+K18+K19+K20</f>
        <v>#REF!</v>
      </c>
      <c r="M15" s="87">
        <v>751700</v>
      </c>
      <c r="N15" s="87">
        <v>723537.62</v>
      </c>
      <c r="O15" s="87">
        <f>M15/N15</f>
        <v>1.0389231730618236</v>
      </c>
    </row>
    <row r="16" spans="1:15" ht="49.5" customHeight="1" x14ac:dyDescent="0.25">
      <c r="A16" s="93" t="s">
        <v>148</v>
      </c>
      <c r="B16" s="93" t="s">
        <v>149</v>
      </c>
      <c r="C16" s="96" t="e">
        <f>E16/D16*1000</f>
        <v>#REF!</v>
      </c>
      <c r="D16" s="184">
        <f>Раб2!D40+Раб2!D36+Раб2!D37</f>
        <v>1.2850000000000004</v>
      </c>
      <c r="E16" s="96" t="e">
        <f>#REF!</f>
        <v>#REF!</v>
      </c>
      <c r="F16" s="96" t="e">
        <f>C16</f>
        <v>#REF!</v>
      </c>
      <c r="G16" s="102">
        <f>D16</f>
        <v>1.2850000000000004</v>
      </c>
      <c r="H16" s="96" t="e">
        <f>F16*G16/1000</f>
        <v>#REF!</v>
      </c>
      <c r="I16" s="164">
        <f>1040600</f>
        <v>1040600</v>
      </c>
      <c r="J16" s="150" t="e">
        <f>#REF!</f>
        <v>#REF!</v>
      </c>
      <c r="K16" s="99" t="e">
        <f>I16*J16/1000</f>
        <v>#REF!</v>
      </c>
      <c r="M16" s="144">
        <f>O15*N16</f>
        <v>902441.2695306706</v>
      </c>
      <c r="N16" s="87">
        <v>868631.38</v>
      </c>
    </row>
    <row r="17" spans="1:14" ht="49.5" customHeight="1" x14ac:dyDescent="0.25">
      <c r="A17" s="93" t="s">
        <v>150</v>
      </c>
      <c r="B17" s="93" t="s">
        <v>151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29">
        <v>0</v>
      </c>
      <c r="J17" s="129">
        <v>0</v>
      </c>
      <c r="K17" s="129">
        <v>0</v>
      </c>
    </row>
    <row r="18" spans="1:14" ht="49.5" customHeight="1" x14ac:dyDescent="0.25">
      <c r="A18" s="93" t="s">
        <v>152</v>
      </c>
      <c r="B18" s="93" t="s">
        <v>153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29">
        <v>0</v>
      </c>
      <c r="J18" s="129">
        <v>0</v>
      </c>
      <c r="K18" s="129">
        <v>0</v>
      </c>
      <c r="M18" s="87">
        <f>D16+'0,4 кВт пере в льготн'!D16-Раб2!D38</f>
        <v>0</v>
      </c>
      <c r="N18" s="190" t="e">
        <f>E16+'0,4 кВт пере в льготн'!E16-#REF!</f>
        <v>#REF!</v>
      </c>
    </row>
    <row r="19" spans="1:14" ht="99.75" customHeight="1" x14ac:dyDescent="0.25">
      <c r="A19" s="93" t="s">
        <v>154</v>
      </c>
      <c r="B19" s="93" t="s">
        <v>155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29">
        <v>0</v>
      </c>
      <c r="J19" s="129">
        <v>0</v>
      </c>
      <c r="K19" s="129">
        <v>0</v>
      </c>
    </row>
    <row r="20" spans="1:14" ht="72.75" customHeight="1" x14ac:dyDescent="0.25">
      <c r="A20" s="93" t="s">
        <v>156</v>
      </c>
      <c r="B20" s="93" t="s">
        <v>157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47">
        <v>0</v>
      </c>
      <c r="J20" s="147">
        <v>0</v>
      </c>
      <c r="K20" s="147">
        <v>0</v>
      </c>
    </row>
    <row r="21" spans="1:14" ht="62.25" customHeight="1" x14ac:dyDescent="0.25">
      <c r="A21" s="93" t="s">
        <v>158</v>
      </c>
      <c r="B21" s="93" t="s">
        <v>169</v>
      </c>
      <c r="C21" s="184" t="s">
        <v>147</v>
      </c>
      <c r="D21" s="184" t="s">
        <v>147</v>
      </c>
      <c r="E21" s="101" t="e">
        <f>E22*E23/1000</f>
        <v>#REF!</v>
      </c>
      <c r="F21" s="184" t="s">
        <v>147</v>
      </c>
      <c r="G21" s="184" t="s">
        <v>147</v>
      </c>
      <c r="H21" s="95" t="e">
        <f>H22*H23/1000</f>
        <v>#REF!</v>
      </c>
      <c r="I21" s="147" t="s">
        <v>147</v>
      </c>
      <c r="J21" s="147" t="s">
        <v>147</v>
      </c>
      <c r="K21" s="99" t="e">
        <f>K22*K23/1000</f>
        <v>#REF!</v>
      </c>
    </row>
    <row r="22" spans="1:14" ht="40.5" customHeight="1" x14ac:dyDescent="0.25">
      <c r="A22" s="93" t="s">
        <v>159</v>
      </c>
      <c r="B22" s="93" t="s">
        <v>160</v>
      </c>
      <c r="C22" s="184" t="s">
        <v>147</v>
      </c>
      <c r="D22" s="184" t="s">
        <v>147</v>
      </c>
      <c r="E22" s="99" t="e">
        <f>(E10+E15/2)/#REF!*1000</f>
        <v>#REF!</v>
      </c>
      <c r="F22" s="147" t="s">
        <v>147</v>
      </c>
      <c r="G22" s="147" t="s">
        <v>147</v>
      </c>
      <c r="H22" s="99" t="e">
        <f>E22</f>
        <v>#REF!</v>
      </c>
      <c r="I22" s="147" t="s">
        <v>147</v>
      </c>
      <c r="J22" s="147" t="s">
        <v>147</v>
      </c>
      <c r="K22" s="99" t="e">
        <f>K10*1000/K23</f>
        <v>#REF!</v>
      </c>
      <c r="L22" s="144"/>
    </row>
    <row r="23" spans="1:14" ht="161.25" customHeight="1" x14ac:dyDescent="0.25">
      <c r="A23" s="93" t="s">
        <v>161</v>
      </c>
      <c r="B23" s="93" t="s">
        <v>170</v>
      </c>
      <c r="C23" s="184" t="s">
        <v>147</v>
      </c>
      <c r="D23" s="184" t="s">
        <v>147</v>
      </c>
      <c r="E23" s="184" t="e">
        <f>#REF!</f>
        <v>#REF!</v>
      </c>
      <c r="F23" s="184" t="s">
        <v>147</v>
      </c>
      <c r="G23" s="184" t="s">
        <v>147</v>
      </c>
      <c r="H23" s="184" t="e">
        <f>E23</f>
        <v>#REF!</v>
      </c>
      <c r="I23" s="147" t="s">
        <v>147</v>
      </c>
      <c r="J23" s="147" t="s">
        <v>147</v>
      </c>
      <c r="K23" s="143" t="e">
        <f>#REF!</f>
        <v>#REF!</v>
      </c>
    </row>
    <row r="24" spans="1:14" ht="98.25" customHeight="1" x14ac:dyDescent="0.25">
      <c r="A24" s="93" t="s">
        <v>162</v>
      </c>
      <c r="B24" s="93" t="s">
        <v>171</v>
      </c>
      <c r="C24" s="184" t="s">
        <v>147</v>
      </c>
      <c r="D24" s="184" t="s">
        <v>147</v>
      </c>
      <c r="E24" s="96" t="e">
        <f>E10+E15-E21</f>
        <v>#REF!</v>
      </c>
      <c r="F24" s="184" t="s">
        <v>147</v>
      </c>
      <c r="G24" s="184" t="s">
        <v>147</v>
      </c>
      <c r="H24" s="96" t="e">
        <f>H10+H15-H21</f>
        <v>#REF!</v>
      </c>
      <c r="I24" s="147" t="s">
        <v>147</v>
      </c>
      <c r="J24" s="147" t="s">
        <v>147</v>
      </c>
      <c r="K24" s="99" t="e">
        <f>K10+K15-K21</f>
        <v>#REF!</v>
      </c>
    </row>
    <row r="29" spans="1:14" ht="20.25" x14ac:dyDescent="0.3">
      <c r="A29" s="83" t="str">
        <f>'Информация о тех. прис.'!A56</f>
        <v>Директор ООО "Трансэнерго"</v>
      </c>
      <c r="B29" s="83"/>
      <c r="C29" s="83"/>
      <c r="D29" s="83"/>
      <c r="E29" s="83"/>
      <c r="F29" s="83"/>
      <c r="G29" s="83"/>
      <c r="H29" s="83"/>
      <c r="J29" s="318" t="s">
        <v>166</v>
      </c>
      <c r="K29" s="318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29"/>
  <sheetViews>
    <sheetView topLeftCell="A13" zoomScale="78" zoomScaleNormal="78" workbookViewId="0">
      <selection activeCell="E23" sqref="E23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3.5703125" style="87" customWidth="1"/>
    <col min="5" max="5" width="13.42578125" style="87" customWidth="1"/>
    <col min="6" max="7" width="13" style="87" customWidth="1"/>
    <col min="8" max="8" width="13.42578125" style="87" customWidth="1"/>
    <col min="9" max="9" width="16.85546875" style="103" customWidth="1"/>
    <col min="10" max="10" width="13.140625" style="103" customWidth="1"/>
    <col min="11" max="11" width="11.85546875" style="103" bestFit="1" customWidth="1"/>
    <col min="12" max="12" width="9.140625" style="87"/>
    <col min="13" max="13" width="13" style="87" customWidth="1"/>
    <col min="14" max="16384" width="9.140625" style="87"/>
  </cols>
  <sheetData>
    <row r="1" spans="1:15" x14ac:dyDescent="0.25">
      <c r="G1" s="311" t="s">
        <v>183</v>
      </c>
      <c r="H1" s="311"/>
      <c r="I1" s="311"/>
      <c r="J1" s="311"/>
      <c r="K1" s="311"/>
    </row>
    <row r="2" spans="1:15" ht="9" customHeight="1" x14ac:dyDescent="0.25">
      <c r="A2" s="91"/>
    </row>
    <row r="3" spans="1:15" ht="61.5" customHeight="1" x14ac:dyDescent="0.25">
      <c r="A3" s="302" t="s">
        <v>332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5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5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5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5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5" ht="145.5" customHeight="1" x14ac:dyDescent="0.25">
      <c r="A8" s="304"/>
      <c r="B8" s="304"/>
      <c r="C8" s="184" t="s">
        <v>173</v>
      </c>
      <c r="D8" s="184" t="s">
        <v>174</v>
      </c>
      <c r="E8" s="184" t="s">
        <v>172</v>
      </c>
      <c r="F8" s="184" t="s">
        <v>175</v>
      </c>
      <c r="G8" s="184" t="s">
        <v>174</v>
      </c>
      <c r="H8" s="184" t="s">
        <v>176</v>
      </c>
      <c r="I8" s="147" t="s">
        <v>177</v>
      </c>
      <c r="J8" s="147" t="s">
        <v>174</v>
      </c>
      <c r="K8" s="147" t="s">
        <v>178</v>
      </c>
    </row>
    <row r="9" spans="1:15" x14ac:dyDescent="0.25">
      <c r="A9" s="184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47">
        <v>9</v>
      </c>
      <c r="J9" s="147">
        <v>10</v>
      </c>
      <c r="K9" s="147">
        <v>11</v>
      </c>
    </row>
    <row r="10" spans="1:15" ht="80.25" customHeight="1" x14ac:dyDescent="0.25">
      <c r="A10" s="93" t="s">
        <v>137</v>
      </c>
      <c r="B10" s="93" t="s">
        <v>167</v>
      </c>
      <c r="C10" s="95" t="e">
        <f>#REF!</f>
        <v>#REF!</v>
      </c>
      <c r="D10" s="95" t="e">
        <f>#REF!</f>
        <v>#REF!</v>
      </c>
      <c r="E10" s="101" t="e">
        <f>C10*D10/1000</f>
        <v>#REF!</v>
      </c>
      <c r="F10" s="95" t="e">
        <f>C10</f>
        <v>#REF!</v>
      </c>
      <c r="G10" s="95" t="e">
        <f>G11</f>
        <v>#REF!</v>
      </c>
      <c r="H10" s="95" t="e">
        <f>F10*G10/1000</f>
        <v>#REF!</v>
      </c>
      <c r="I10" s="99" t="e">
        <f>'П1 0,4 кВт льготн'!I9</f>
        <v>#REF!</v>
      </c>
      <c r="J10" s="99" t="e">
        <f>#REF!</f>
        <v>#REF!</v>
      </c>
      <c r="K10" s="99" t="e">
        <f>I10*$K$23/1000</f>
        <v>#REF!</v>
      </c>
      <c r="M10" s="163" t="e">
        <f>E10-#REF!</f>
        <v>#REF!</v>
      </c>
    </row>
    <row r="11" spans="1:15" ht="69" customHeight="1" x14ac:dyDescent="0.25">
      <c r="A11" s="93" t="s">
        <v>138</v>
      </c>
      <c r="B11" s="93" t="s">
        <v>139</v>
      </c>
      <c r="C11" s="95" t="e">
        <f>#REF!</f>
        <v>#REF!</v>
      </c>
      <c r="D11" s="95" t="e">
        <f>D10</f>
        <v>#REF!</v>
      </c>
      <c r="E11" s="95" t="e">
        <f>C11*D11/1000</f>
        <v>#REF!</v>
      </c>
      <c r="F11" s="95" t="e">
        <f t="shared" ref="F11:G14" si="0">C11</f>
        <v>#REF!</v>
      </c>
      <c r="G11" s="95" t="e">
        <f>D11</f>
        <v>#REF!</v>
      </c>
      <c r="H11" s="95" t="e">
        <f t="shared" ref="H11:H13" si="1">F11*G11/1000</f>
        <v>#REF!</v>
      </c>
      <c r="I11" s="99" t="e">
        <f>'П1 0,4 кВт льготн'!I10</f>
        <v>#REF!</v>
      </c>
      <c r="J11" s="99" t="e">
        <f>J10</f>
        <v>#REF!</v>
      </c>
      <c r="K11" s="99" t="e">
        <f t="shared" ref="K11:K14" si="2">I11*$K$23/1000</f>
        <v>#REF!</v>
      </c>
    </row>
    <row r="12" spans="1:15" ht="61.5" customHeight="1" x14ac:dyDescent="0.25">
      <c r="A12" s="93" t="s">
        <v>140</v>
      </c>
      <c r="B12" s="93" t="s">
        <v>141</v>
      </c>
      <c r="C12" s="95" t="e">
        <f>#REF!</f>
        <v>#REF!</v>
      </c>
      <c r="D12" s="95" t="e">
        <f t="shared" ref="D12:D14" si="3">D11</f>
        <v>#REF!</v>
      </c>
      <c r="E12" s="95" t="e">
        <f>C12*D12/1000</f>
        <v>#REF!</v>
      </c>
      <c r="F12" s="95" t="e">
        <f t="shared" si="0"/>
        <v>#REF!</v>
      </c>
      <c r="G12" s="95" t="e">
        <f t="shared" si="0"/>
        <v>#REF!</v>
      </c>
      <c r="H12" s="95" t="e">
        <f t="shared" si="1"/>
        <v>#REF!</v>
      </c>
      <c r="I12" s="99" t="e">
        <f>'П1 0,4 кВт льготн'!I11</f>
        <v>#REF!</v>
      </c>
      <c r="J12" s="99" t="e">
        <f>J11</f>
        <v>#REF!</v>
      </c>
      <c r="K12" s="99" t="e">
        <f t="shared" si="2"/>
        <v>#REF!</v>
      </c>
    </row>
    <row r="13" spans="1:15" ht="105.75" customHeight="1" x14ac:dyDescent="0.25">
      <c r="A13" s="93" t="s">
        <v>142</v>
      </c>
      <c r="B13" s="93" t="s">
        <v>143</v>
      </c>
      <c r="C13" s="95" t="e">
        <f>#REF!</f>
        <v>#REF!</v>
      </c>
      <c r="D13" s="95" t="e">
        <f t="shared" si="3"/>
        <v>#REF!</v>
      </c>
      <c r="E13" s="95" t="e">
        <f>C13*D13/1000</f>
        <v>#REF!</v>
      </c>
      <c r="F13" s="95" t="e">
        <f t="shared" si="0"/>
        <v>#REF!</v>
      </c>
      <c r="G13" s="95" t="e">
        <f t="shared" si="0"/>
        <v>#REF!</v>
      </c>
      <c r="H13" s="95" t="e">
        <f t="shared" si="1"/>
        <v>#REF!</v>
      </c>
      <c r="I13" s="99" t="e">
        <f>'П1 0,4 кВт льготн'!I12</f>
        <v>#REF!</v>
      </c>
      <c r="J13" s="99" t="e">
        <f>J12</f>
        <v>#REF!</v>
      </c>
      <c r="K13" s="99" t="e">
        <f t="shared" si="2"/>
        <v>#REF!</v>
      </c>
    </row>
    <row r="14" spans="1:15" ht="116.25" customHeight="1" x14ac:dyDescent="0.25">
      <c r="A14" s="93" t="s">
        <v>144</v>
      </c>
      <c r="B14" s="93" t="s">
        <v>145</v>
      </c>
      <c r="C14" s="95" t="e">
        <f>#REF!</f>
        <v>#REF!</v>
      </c>
      <c r="D14" s="95" t="e">
        <f t="shared" si="3"/>
        <v>#REF!</v>
      </c>
      <c r="E14" s="95" t="e">
        <f>C14*D14/1000</f>
        <v>#REF!</v>
      </c>
      <c r="F14" s="95" t="e">
        <f t="shared" si="0"/>
        <v>#REF!</v>
      </c>
      <c r="G14" s="95" t="e">
        <f t="shared" si="0"/>
        <v>#REF!</v>
      </c>
      <c r="H14" s="95" t="e">
        <f>F14*G14/1000</f>
        <v>#REF!</v>
      </c>
      <c r="I14" s="99">
        <f>'П1 0,4 кВт льготн'!I13</f>
        <v>0</v>
      </c>
      <c r="J14" s="99" t="e">
        <f>J13</f>
        <v>#REF!</v>
      </c>
      <c r="K14" s="99" t="e">
        <f t="shared" si="2"/>
        <v>#REF!</v>
      </c>
    </row>
    <row r="15" spans="1:15" ht="73.5" customHeight="1" x14ac:dyDescent="0.25">
      <c r="A15" s="93" t="s">
        <v>146</v>
      </c>
      <c r="B15" s="93" t="s">
        <v>168</v>
      </c>
      <c r="C15" s="184" t="s">
        <v>147</v>
      </c>
      <c r="D15" s="184" t="s">
        <v>147</v>
      </c>
      <c r="E15" s="99" t="e">
        <f>E16</f>
        <v>#REF!</v>
      </c>
      <c r="F15" s="184" t="s">
        <v>147</v>
      </c>
      <c r="G15" s="184" t="s">
        <v>147</v>
      </c>
      <c r="H15" s="96" t="e">
        <f>H16</f>
        <v>#REF!</v>
      </c>
      <c r="I15" s="99" t="s">
        <v>147</v>
      </c>
      <c r="J15" s="99" t="s">
        <v>147</v>
      </c>
      <c r="K15" s="99" t="e">
        <f>K16+K17+K18+K19+K20</f>
        <v>#REF!</v>
      </c>
      <c r="M15" s="87">
        <v>751700</v>
      </c>
      <c r="N15" s="87">
        <v>723537.62</v>
      </c>
      <c r="O15" s="87">
        <f>M15/N15</f>
        <v>1.0389231730618236</v>
      </c>
    </row>
    <row r="16" spans="1:15" ht="49.5" customHeight="1" x14ac:dyDescent="0.25">
      <c r="A16" s="93" t="s">
        <v>148</v>
      </c>
      <c r="B16" s="93" t="s">
        <v>149</v>
      </c>
      <c r="C16" s="96" t="e">
        <f>E16/D16*1000</f>
        <v>#REF!</v>
      </c>
      <c r="D16" s="184">
        <f>Раб2!D29+Раб2!D32+Раб2!D33+Раб2!D34</f>
        <v>1.04</v>
      </c>
      <c r="E16" s="96" t="e">
        <f>#REF!</f>
        <v>#REF!</v>
      </c>
      <c r="F16" s="96" t="e">
        <f>C16</f>
        <v>#REF!</v>
      </c>
      <c r="G16" s="102">
        <f>D16</f>
        <v>1.04</v>
      </c>
      <c r="H16" s="96" t="e">
        <f>F16*G16/1000</f>
        <v>#REF!</v>
      </c>
      <c r="I16" s="164">
        <f>1040600</f>
        <v>1040600</v>
      </c>
      <c r="J16" s="150" t="e">
        <f>#REF!</f>
        <v>#REF!</v>
      </c>
      <c r="K16" s="99" t="e">
        <f>I16*J16/1000</f>
        <v>#REF!</v>
      </c>
      <c r="M16" s="144">
        <f>O15*N16</f>
        <v>902441.2695306706</v>
      </c>
      <c r="N16" s="87">
        <v>868631.38</v>
      </c>
    </row>
    <row r="17" spans="1:12" ht="49.5" customHeight="1" x14ac:dyDescent="0.25">
      <c r="A17" s="93" t="s">
        <v>150</v>
      </c>
      <c r="B17" s="93" t="s">
        <v>151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29">
        <v>0</v>
      </c>
      <c r="J17" s="129">
        <v>0</v>
      </c>
      <c r="K17" s="129">
        <v>0</v>
      </c>
    </row>
    <row r="18" spans="1:12" ht="49.5" customHeight="1" x14ac:dyDescent="0.25">
      <c r="A18" s="93" t="s">
        <v>152</v>
      </c>
      <c r="B18" s="93" t="s">
        <v>153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29">
        <v>0</v>
      </c>
      <c r="J18" s="129">
        <v>0</v>
      </c>
      <c r="K18" s="129">
        <v>0</v>
      </c>
    </row>
    <row r="19" spans="1:12" ht="99.75" customHeight="1" x14ac:dyDescent="0.25">
      <c r="A19" s="93" t="s">
        <v>154</v>
      </c>
      <c r="B19" s="93" t="s">
        <v>155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29">
        <v>0</v>
      </c>
      <c r="J19" s="129">
        <v>0</v>
      </c>
      <c r="K19" s="129">
        <v>0</v>
      </c>
    </row>
    <row r="20" spans="1:12" ht="72.75" customHeight="1" x14ac:dyDescent="0.25">
      <c r="A20" s="93" t="s">
        <v>156</v>
      </c>
      <c r="B20" s="93" t="s">
        <v>157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47">
        <v>0</v>
      </c>
      <c r="J20" s="147">
        <v>0</v>
      </c>
      <c r="K20" s="147">
        <v>0</v>
      </c>
    </row>
    <row r="21" spans="1:12" ht="62.25" customHeight="1" x14ac:dyDescent="0.25">
      <c r="A21" s="93" t="s">
        <v>158</v>
      </c>
      <c r="B21" s="93" t="s">
        <v>169</v>
      </c>
      <c r="C21" s="184" t="s">
        <v>147</v>
      </c>
      <c r="D21" s="184" t="s">
        <v>147</v>
      </c>
      <c r="E21" s="101" t="e">
        <f>E22*E23/1000</f>
        <v>#REF!</v>
      </c>
      <c r="F21" s="184" t="s">
        <v>147</v>
      </c>
      <c r="G21" s="184" t="s">
        <v>147</v>
      </c>
      <c r="H21" s="95" t="e">
        <f>H22*H23/1000</f>
        <v>#REF!</v>
      </c>
      <c r="I21" s="147" t="s">
        <v>147</v>
      </c>
      <c r="J21" s="147" t="s">
        <v>147</v>
      </c>
      <c r="K21" s="99" t="e">
        <f>K22*K23/1000</f>
        <v>#REF!</v>
      </c>
    </row>
    <row r="22" spans="1:12" ht="40.5" customHeight="1" x14ac:dyDescent="0.25">
      <c r="A22" s="93" t="s">
        <v>159</v>
      </c>
      <c r="B22" s="93" t="s">
        <v>160</v>
      </c>
      <c r="C22" s="184" t="s">
        <v>147</v>
      </c>
      <c r="D22" s="184" t="s">
        <v>147</v>
      </c>
      <c r="E22" s="99" t="e">
        <f>(E10+E15)/#REF!*1000</f>
        <v>#REF!</v>
      </c>
      <c r="F22" s="147" t="s">
        <v>147</v>
      </c>
      <c r="G22" s="147" t="s">
        <v>147</v>
      </c>
      <c r="H22" s="99" t="e">
        <f>E22</f>
        <v>#REF!</v>
      </c>
      <c r="I22" s="147" t="s">
        <v>147</v>
      </c>
      <c r="J22" s="147" t="s">
        <v>147</v>
      </c>
      <c r="K22" s="99" t="e">
        <f>K10*1000/K23</f>
        <v>#REF!</v>
      </c>
      <c r="L22" s="144"/>
    </row>
    <row r="23" spans="1:12" ht="161.25" customHeight="1" x14ac:dyDescent="0.25">
      <c r="A23" s="93" t="s">
        <v>161</v>
      </c>
      <c r="B23" s="93" t="s">
        <v>170</v>
      </c>
      <c r="C23" s="184" t="s">
        <v>147</v>
      </c>
      <c r="D23" s="184" t="s">
        <v>147</v>
      </c>
      <c r="E23" s="184" t="e">
        <f>#REF!</f>
        <v>#REF!</v>
      </c>
      <c r="F23" s="184" t="s">
        <v>147</v>
      </c>
      <c r="G23" s="184" t="s">
        <v>147</v>
      </c>
      <c r="H23" s="184" t="e">
        <f>E23</f>
        <v>#REF!</v>
      </c>
      <c r="I23" s="147" t="s">
        <v>147</v>
      </c>
      <c r="J23" s="147" t="s">
        <v>147</v>
      </c>
      <c r="K23" s="143" t="e">
        <f>#REF!</f>
        <v>#REF!</v>
      </c>
    </row>
    <row r="24" spans="1:12" ht="98.25" customHeight="1" x14ac:dyDescent="0.25">
      <c r="A24" s="93" t="s">
        <v>162</v>
      </c>
      <c r="B24" s="93" t="s">
        <v>171</v>
      </c>
      <c r="C24" s="184" t="s">
        <v>147</v>
      </c>
      <c r="D24" s="184" t="s">
        <v>147</v>
      </c>
      <c r="E24" s="96" t="e">
        <f>E10+E15-E21</f>
        <v>#REF!</v>
      </c>
      <c r="F24" s="184" t="s">
        <v>147</v>
      </c>
      <c r="G24" s="184" t="s">
        <v>147</v>
      </c>
      <c r="H24" s="96" t="e">
        <f>H10+H15-H21</f>
        <v>#REF!</v>
      </c>
      <c r="I24" s="147" t="s">
        <v>147</v>
      </c>
      <c r="J24" s="147" t="s">
        <v>147</v>
      </c>
      <c r="K24" s="99" t="e">
        <f>K10+K15-K21</f>
        <v>#REF!</v>
      </c>
    </row>
    <row r="29" spans="1:12" ht="20.25" x14ac:dyDescent="0.3">
      <c r="A29" s="83" t="str">
        <f>'Информация о тех. прис.'!A56</f>
        <v>Директор ООО "Трансэнерго"</v>
      </c>
      <c r="B29" s="83"/>
      <c r="C29" s="83"/>
      <c r="D29" s="83"/>
      <c r="E29" s="83"/>
      <c r="F29" s="83"/>
      <c r="G29" s="83"/>
      <c r="H29" s="83"/>
      <c r="J29" s="318" t="s">
        <v>166</v>
      </c>
      <c r="K29" s="318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60" zoomScaleNormal="77" workbookViewId="0">
      <selection activeCell="Q14" sqref="Q14"/>
    </sheetView>
  </sheetViews>
  <sheetFormatPr defaultColWidth="9.140625" defaultRowHeight="15.75" outlineLevelRow="1" outlineLevelCol="1" x14ac:dyDescent="0.25"/>
  <cols>
    <col min="1" max="1" width="6.85546875" style="87" customWidth="1"/>
    <col min="2" max="2" width="48" style="87" customWidth="1"/>
    <col min="3" max="3" width="15.140625" style="87" customWidth="1"/>
    <col min="4" max="4" width="13.7109375" style="87" customWidth="1"/>
    <col min="5" max="5" width="13.42578125" style="103" customWidth="1"/>
    <col min="6" max="6" width="14.7109375" style="87" hidden="1" customWidth="1" outlineLevel="1"/>
    <col min="7" max="7" width="13.28515625" style="87" hidden="1" customWidth="1" outlineLevel="1"/>
    <col min="8" max="8" width="11.42578125" style="87" hidden="1" customWidth="1" outlineLevel="1"/>
    <col min="9" max="9" width="14.5703125" style="87" customWidth="1" collapsed="1"/>
    <col min="10" max="10" width="12.85546875" style="87" customWidth="1"/>
    <col min="11" max="11" width="14.85546875" style="87" customWidth="1"/>
    <col min="12" max="16384" width="9.140625" style="87"/>
  </cols>
  <sheetData>
    <row r="1" spans="1:11" x14ac:dyDescent="0.25">
      <c r="E1" s="311" t="s">
        <v>183</v>
      </c>
      <c r="F1" s="311"/>
      <c r="G1" s="311"/>
      <c r="H1" s="311"/>
      <c r="I1" s="311"/>
      <c r="J1" s="311"/>
      <c r="K1" s="311"/>
    </row>
    <row r="2" spans="1:11" ht="9" customHeight="1" x14ac:dyDescent="0.25">
      <c r="A2" s="91"/>
    </row>
    <row r="3" spans="1:11" ht="61.5" customHeight="1" x14ac:dyDescent="0.25">
      <c r="A3" s="302" t="s">
        <v>182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23.25" customHeight="1" x14ac:dyDescent="0.25">
      <c r="A4" s="302" t="s">
        <v>271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4.25" customHeight="1" x14ac:dyDescent="0.25">
      <c r="A5" s="94"/>
      <c r="B5" s="94"/>
      <c r="C5" s="94"/>
      <c r="D5" s="94"/>
      <c r="E5" s="104"/>
      <c r="F5" s="94"/>
      <c r="G5" s="94"/>
      <c r="H5" s="94"/>
      <c r="I5" s="94"/>
      <c r="J5" s="94"/>
      <c r="K5" s="94"/>
    </row>
    <row r="6" spans="1:11" ht="21.7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1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1" ht="145.5" customHeight="1" x14ac:dyDescent="0.25">
      <c r="A8" s="304"/>
      <c r="B8" s="304"/>
      <c r="C8" s="115" t="s">
        <v>173</v>
      </c>
      <c r="D8" s="115" t="s">
        <v>174</v>
      </c>
      <c r="E8" s="100" t="s">
        <v>172</v>
      </c>
      <c r="F8" s="115" t="s">
        <v>175</v>
      </c>
      <c r="G8" s="115" t="s">
        <v>174</v>
      </c>
      <c r="H8" s="115" t="s">
        <v>176</v>
      </c>
      <c r="I8" s="147" t="s">
        <v>177</v>
      </c>
      <c r="J8" s="147" t="s">
        <v>174</v>
      </c>
      <c r="K8" s="147" t="s">
        <v>178</v>
      </c>
    </row>
    <row r="9" spans="1:11" x14ac:dyDescent="0.25">
      <c r="A9" s="115">
        <v>1</v>
      </c>
      <c r="B9" s="115">
        <v>2</v>
      </c>
      <c r="C9" s="115">
        <v>3</v>
      </c>
      <c r="D9" s="115">
        <v>4</v>
      </c>
      <c r="E9" s="100">
        <v>5</v>
      </c>
      <c r="F9" s="115">
        <v>6</v>
      </c>
      <c r="G9" s="115">
        <v>7</v>
      </c>
      <c r="H9" s="115">
        <v>8</v>
      </c>
      <c r="I9" s="147">
        <v>9</v>
      </c>
      <c r="J9" s="147">
        <v>10</v>
      </c>
      <c r="K9" s="147">
        <v>11</v>
      </c>
    </row>
    <row r="10" spans="1:11" ht="80.25" customHeight="1" x14ac:dyDescent="0.25">
      <c r="A10" s="93" t="s">
        <v>137</v>
      </c>
      <c r="B10" s="93" t="s">
        <v>167</v>
      </c>
      <c r="C10" s="95">
        <v>0</v>
      </c>
      <c r="D10" s="95">
        <v>0</v>
      </c>
      <c r="E10" s="101">
        <v>0</v>
      </c>
      <c r="F10" s="98">
        <v>0</v>
      </c>
      <c r="G10" s="95">
        <v>0</v>
      </c>
      <c r="H10" s="95">
        <v>0</v>
      </c>
      <c r="I10" s="99">
        <v>14130</v>
      </c>
      <c r="J10" s="99">
        <v>100</v>
      </c>
      <c r="K10" s="99">
        <v>14.13</v>
      </c>
    </row>
    <row r="11" spans="1:11" ht="69" customHeight="1" x14ac:dyDescent="0.25">
      <c r="A11" s="93" t="s">
        <v>138</v>
      </c>
      <c r="B11" s="93" t="s">
        <v>139</v>
      </c>
      <c r="C11" s="95">
        <v>0</v>
      </c>
      <c r="D11" s="95">
        <v>0</v>
      </c>
      <c r="E11" s="101">
        <v>0</v>
      </c>
      <c r="F11" s="95">
        <v>0</v>
      </c>
      <c r="G11" s="95">
        <v>0</v>
      </c>
      <c r="H11" s="95">
        <v>0</v>
      </c>
      <c r="I11" s="99">
        <v>6760</v>
      </c>
      <c r="J11" s="99">
        <v>100</v>
      </c>
      <c r="K11" s="99">
        <v>6.76</v>
      </c>
    </row>
    <row r="12" spans="1:11" ht="61.5" customHeight="1" x14ac:dyDescent="0.25">
      <c r="A12" s="93" t="s">
        <v>140</v>
      </c>
      <c r="B12" s="93" t="s">
        <v>141</v>
      </c>
      <c r="C12" s="95">
        <v>0</v>
      </c>
      <c r="D12" s="95">
        <v>0</v>
      </c>
      <c r="E12" s="101">
        <v>0</v>
      </c>
      <c r="F12" s="95">
        <v>0</v>
      </c>
      <c r="G12" s="95">
        <v>0</v>
      </c>
      <c r="H12" s="95">
        <v>0</v>
      </c>
      <c r="I12" s="99">
        <v>7370</v>
      </c>
      <c r="J12" s="99">
        <v>100</v>
      </c>
      <c r="K12" s="99">
        <v>7.37</v>
      </c>
    </row>
    <row r="13" spans="1:11" ht="105.75" customHeight="1" x14ac:dyDescent="0.25">
      <c r="A13" s="93" t="s">
        <v>142</v>
      </c>
      <c r="B13" s="93" t="s">
        <v>143</v>
      </c>
      <c r="C13" s="95">
        <v>0</v>
      </c>
      <c r="D13" s="95">
        <v>0</v>
      </c>
      <c r="E13" s="101">
        <v>0</v>
      </c>
      <c r="F13" s="95">
        <v>0</v>
      </c>
      <c r="G13" s="95">
        <v>0</v>
      </c>
      <c r="H13" s="95">
        <v>0</v>
      </c>
      <c r="I13" s="99">
        <v>0</v>
      </c>
      <c r="J13" s="99">
        <v>100</v>
      </c>
      <c r="K13" s="99">
        <v>0</v>
      </c>
    </row>
    <row r="14" spans="1:11" ht="116.25" customHeight="1" x14ac:dyDescent="0.25">
      <c r="A14" s="93" t="s">
        <v>144</v>
      </c>
      <c r="B14" s="93" t="s">
        <v>145</v>
      </c>
      <c r="C14" s="95">
        <v>0</v>
      </c>
      <c r="D14" s="95">
        <v>0</v>
      </c>
      <c r="E14" s="101">
        <v>0</v>
      </c>
      <c r="F14" s="95">
        <v>0</v>
      </c>
      <c r="G14" s="95">
        <v>0</v>
      </c>
      <c r="H14" s="95">
        <v>0</v>
      </c>
      <c r="I14" s="99">
        <v>0</v>
      </c>
      <c r="J14" s="99">
        <v>100</v>
      </c>
      <c r="K14" s="99">
        <v>0</v>
      </c>
    </row>
    <row r="15" spans="1:11" ht="73.5" customHeight="1" x14ac:dyDescent="0.25">
      <c r="A15" s="93" t="s">
        <v>146</v>
      </c>
      <c r="B15" s="93" t="s">
        <v>168</v>
      </c>
      <c r="C15" s="98" t="s">
        <v>147</v>
      </c>
      <c r="D15" s="98" t="s">
        <v>147</v>
      </c>
      <c r="E15" s="99">
        <v>0</v>
      </c>
      <c r="F15" s="98" t="s">
        <v>147</v>
      </c>
      <c r="G15" s="98" t="s">
        <v>147</v>
      </c>
      <c r="H15" s="96">
        <v>0</v>
      </c>
      <c r="I15" s="99" t="s">
        <v>147</v>
      </c>
      <c r="J15" s="99" t="s">
        <v>147</v>
      </c>
      <c r="K15" s="99">
        <v>100.3336</v>
      </c>
    </row>
    <row r="16" spans="1:11" ht="49.5" customHeight="1" x14ac:dyDescent="0.25">
      <c r="A16" s="93" t="s">
        <v>148</v>
      </c>
      <c r="B16" s="93" t="s">
        <v>149</v>
      </c>
      <c r="C16" s="96">
        <v>0</v>
      </c>
      <c r="D16" s="95">
        <v>0</v>
      </c>
      <c r="E16" s="99">
        <v>0</v>
      </c>
      <c r="F16" s="96">
        <v>0</v>
      </c>
      <c r="G16" s="96">
        <v>0</v>
      </c>
      <c r="H16" s="96">
        <v>0</v>
      </c>
      <c r="I16" s="99">
        <v>1254170</v>
      </c>
      <c r="J16" s="99">
        <v>0.08</v>
      </c>
      <c r="K16" s="99">
        <v>100.3336</v>
      </c>
    </row>
    <row r="17" spans="1:11" ht="49.5" customHeight="1" x14ac:dyDescent="0.25">
      <c r="A17" s="93" t="s">
        <v>150</v>
      </c>
      <c r="B17" s="93" t="s">
        <v>151</v>
      </c>
      <c r="C17" s="98">
        <v>0</v>
      </c>
      <c r="D17" s="98">
        <v>0</v>
      </c>
      <c r="E17" s="100">
        <v>0</v>
      </c>
      <c r="F17" s="98">
        <v>0</v>
      </c>
      <c r="G17" s="98">
        <v>0</v>
      </c>
      <c r="H17" s="98">
        <v>0</v>
      </c>
      <c r="I17" s="129">
        <v>0</v>
      </c>
      <c r="J17" s="129">
        <v>0</v>
      </c>
      <c r="K17" s="129">
        <v>0</v>
      </c>
    </row>
    <row r="18" spans="1:11" ht="49.5" customHeight="1" x14ac:dyDescent="0.25">
      <c r="A18" s="93" t="s">
        <v>152</v>
      </c>
      <c r="B18" s="93" t="s">
        <v>153</v>
      </c>
      <c r="C18" s="98">
        <v>0</v>
      </c>
      <c r="D18" s="98">
        <v>0</v>
      </c>
      <c r="E18" s="100">
        <v>0</v>
      </c>
      <c r="F18" s="98">
        <v>0</v>
      </c>
      <c r="G18" s="98">
        <v>0</v>
      </c>
      <c r="H18" s="98">
        <v>0</v>
      </c>
      <c r="I18" s="129">
        <v>0</v>
      </c>
      <c r="J18" s="129">
        <v>0</v>
      </c>
      <c r="K18" s="129">
        <v>0</v>
      </c>
    </row>
    <row r="19" spans="1:11" ht="99.75" customHeight="1" x14ac:dyDescent="0.25">
      <c r="A19" s="93" t="s">
        <v>154</v>
      </c>
      <c r="B19" s="93" t="s">
        <v>155</v>
      </c>
      <c r="C19" s="98">
        <v>0</v>
      </c>
      <c r="D19" s="98">
        <v>0</v>
      </c>
      <c r="E19" s="100">
        <v>0</v>
      </c>
      <c r="F19" s="98">
        <v>0</v>
      </c>
      <c r="G19" s="98">
        <v>0</v>
      </c>
      <c r="H19" s="98">
        <v>0</v>
      </c>
      <c r="I19" s="129">
        <v>0</v>
      </c>
      <c r="J19" s="129">
        <v>0</v>
      </c>
      <c r="K19" s="129">
        <v>0</v>
      </c>
    </row>
    <row r="20" spans="1:11" ht="72.75" customHeight="1" x14ac:dyDescent="0.25">
      <c r="A20" s="93" t="s">
        <v>156</v>
      </c>
      <c r="B20" s="93" t="s">
        <v>157</v>
      </c>
      <c r="C20" s="98">
        <v>0</v>
      </c>
      <c r="D20" s="98">
        <v>0</v>
      </c>
      <c r="E20" s="100">
        <v>0</v>
      </c>
      <c r="F20" s="98">
        <v>0</v>
      </c>
      <c r="G20" s="98">
        <v>0</v>
      </c>
      <c r="H20" s="98">
        <v>0</v>
      </c>
      <c r="I20" s="147">
        <v>0</v>
      </c>
      <c r="J20" s="147">
        <v>0</v>
      </c>
      <c r="K20" s="147">
        <v>0</v>
      </c>
    </row>
    <row r="21" spans="1:11" ht="62.25" customHeight="1" x14ac:dyDescent="0.25">
      <c r="A21" s="93" t="s">
        <v>158</v>
      </c>
      <c r="B21" s="93" t="s">
        <v>169</v>
      </c>
      <c r="C21" s="98" t="s">
        <v>147</v>
      </c>
      <c r="D21" s="98" t="s">
        <v>147</v>
      </c>
      <c r="E21" s="101">
        <v>0</v>
      </c>
      <c r="F21" s="98" t="s">
        <v>147</v>
      </c>
      <c r="G21" s="98" t="s">
        <v>147</v>
      </c>
      <c r="H21" s="95">
        <v>0</v>
      </c>
      <c r="I21" s="147" t="s">
        <v>147</v>
      </c>
      <c r="J21" s="147" t="s">
        <v>147</v>
      </c>
      <c r="K21" s="99">
        <v>14.13</v>
      </c>
    </row>
    <row r="22" spans="1:11" ht="40.5" customHeight="1" x14ac:dyDescent="0.25">
      <c r="A22" s="93" t="s">
        <v>159</v>
      </c>
      <c r="B22" s="93" t="s">
        <v>160</v>
      </c>
      <c r="C22" s="98" t="s">
        <v>147</v>
      </c>
      <c r="D22" s="98" t="s">
        <v>147</v>
      </c>
      <c r="E22" s="99">
        <v>0</v>
      </c>
      <c r="F22" s="100" t="s">
        <v>147</v>
      </c>
      <c r="G22" s="100" t="s">
        <v>147</v>
      </c>
      <c r="H22" s="99">
        <v>0</v>
      </c>
      <c r="I22" s="147" t="s">
        <v>147</v>
      </c>
      <c r="J22" s="147" t="s">
        <v>147</v>
      </c>
      <c r="K22" s="99">
        <v>14130</v>
      </c>
    </row>
    <row r="23" spans="1:11" ht="161.25" customHeight="1" x14ac:dyDescent="0.25">
      <c r="A23" s="93" t="s">
        <v>161</v>
      </c>
      <c r="B23" s="93" t="s">
        <v>170</v>
      </c>
      <c r="C23" s="98" t="s">
        <v>147</v>
      </c>
      <c r="D23" s="98" t="s">
        <v>147</v>
      </c>
      <c r="E23" s="100">
        <v>0</v>
      </c>
      <c r="F23" s="98" t="s">
        <v>147</v>
      </c>
      <c r="G23" s="98" t="s">
        <v>147</v>
      </c>
      <c r="H23" s="98">
        <v>0</v>
      </c>
      <c r="I23" s="147" t="s">
        <v>147</v>
      </c>
      <c r="J23" s="147" t="s">
        <v>147</v>
      </c>
      <c r="K23" s="143">
        <v>1</v>
      </c>
    </row>
    <row r="24" spans="1:11" ht="104.25" customHeight="1" x14ac:dyDescent="0.25">
      <c r="A24" s="93" t="s">
        <v>162</v>
      </c>
      <c r="B24" s="93" t="s">
        <v>171</v>
      </c>
      <c r="C24" s="98" t="s">
        <v>147</v>
      </c>
      <c r="D24" s="98" t="s">
        <v>147</v>
      </c>
      <c r="E24" s="99">
        <v>0</v>
      </c>
      <c r="F24" s="98" t="s">
        <v>147</v>
      </c>
      <c r="G24" s="98" t="s">
        <v>147</v>
      </c>
      <c r="H24" s="96">
        <v>0</v>
      </c>
      <c r="I24" s="147" t="s">
        <v>147</v>
      </c>
      <c r="J24" s="147" t="s">
        <v>147</v>
      </c>
      <c r="K24" s="101">
        <v>100.3336</v>
      </c>
    </row>
    <row r="25" spans="1:11" hidden="1" outlineLevel="1" x14ac:dyDescent="0.25"/>
    <row r="26" spans="1:11" hidden="1" outlineLevel="1" x14ac:dyDescent="0.25"/>
    <row r="27" spans="1:11" hidden="1" outlineLevel="1" x14ac:dyDescent="0.25"/>
    <row r="28" spans="1:11" hidden="1" outlineLevel="1" x14ac:dyDescent="0.25"/>
    <row r="29" spans="1:11" ht="20.25" hidden="1" outlineLevel="1" x14ac:dyDescent="0.3">
      <c r="A29" s="83" t="s">
        <v>165</v>
      </c>
      <c r="B29" s="83"/>
      <c r="C29" s="83"/>
      <c r="D29" s="83"/>
      <c r="E29" s="105"/>
      <c r="F29" s="83"/>
      <c r="G29" s="83"/>
      <c r="H29" s="83"/>
      <c r="I29" s="319" t="s">
        <v>166</v>
      </c>
      <c r="J29" s="319"/>
      <c r="K29" s="319"/>
    </row>
    <row r="30" spans="1:11" collapsed="1" x14ac:dyDescent="0.25"/>
  </sheetData>
  <mergeCells count="9">
    <mergeCell ref="I29:K29"/>
    <mergeCell ref="E1:K1"/>
    <mergeCell ref="A3:K3"/>
    <mergeCell ref="A4:K4"/>
    <mergeCell ref="A6:A8"/>
    <mergeCell ref="B6:B8"/>
    <mergeCell ref="C6:E7"/>
    <mergeCell ref="F6:H7"/>
    <mergeCell ref="I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rowBreaks count="2" manualBreakCount="2">
    <brk id="13" max="10" man="1"/>
    <brk id="19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0"/>
  <sheetViews>
    <sheetView zoomScale="89" zoomScaleNormal="89" workbookViewId="0">
      <selection activeCell="I53" sqref="I53"/>
    </sheetView>
  </sheetViews>
  <sheetFormatPr defaultRowHeight="15" x14ac:dyDescent="0.25"/>
  <cols>
    <col min="1" max="1" width="5.42578125" customWidth="1"/>
    <col min="2" max="2" width="11.85546875" customWidth="1"/>
    <col min="3" max="3" width="28.85546875" customWidth="1"/>
    <col min="4" max="4" width="31.28515625" customWidth="1"/>
    <col min="5" max="5" width="10.85546875" customWidth="1"/>
    <col min="6" max="6" width="10.42578125" customWidth="1"/>
  </cols>
  <sheetData>
    <row r="2" spans="1:7" ht="94.5" x14ac:dyDescent="0.25">
      <c r="A2" s="115" t="s">
        <v>195</v>
      </c>
      <c r="B2" s="115" t="s">
        <v>202</v>
      </c>
      <c r="C2" s="115" t="s">
        <v>203</v>
      </c>
      <c r="D2" s="115" t="s">
        <v>204</v>
      </c>
      <c r="E2" s="115" t="s">
        <v>205</v>
      </c>
      <c r="F2" s="115" t="s">
        <v>206</v>
      </c>
      <c r="G2" s="115" t="s">
        <v>207</v>
      </c>
    </row>
    <row r="3" spans="1:7" ht="31.5" x14ac:dyDescent="0.25">
      <c r="A3" s="115" t="s">
        <v>137</v>
      </c>
      <c r="B3" s="115">
        <v>19</v>
      </c>
      <c r="C3" s="93" t="s">
        <v>208</v>
      </c>
      <c r="D3" s="115">
        <v>15</v>
      </c>
      <c r="E3" s="115" t="s">
        <v>209</v>
      </c>
      <c r="F3" s="115" t="s">
        <v>210</v>
      </c>
      <c r="G3" s="115">
        <v>0.34899999999999998</v>
      </c>
    </row>
    <row r="4" spans="1:7" ht="47.25" x14ac:dyDescent="0.25">
      <c r="A4" s="115" t="s">
        <v>146</v>
      </c>
      <c r="B4" s="115">
        <v>26</v>
      </c>
      <c r="C4" s="93" t="s">
        <v>211</v>
      </c>
      <c r="D4" s="115">
        <v>15</v>
      </c>
      <c r="E4" s="115" t="s">
        <v>209</v>
      </c>
      <c r="F4" s="115" t="s">
        <v>212</v>
      </c>
      <c r="G4" s="115">
        <v>0.19700000000000001</v>
      </c>
    </row>
    <row r="5" spans="1:7" ht="47.25" x14ac:dyDescent="0.25">
      <c r="A5" s="115" t="s">
        <v>158</v>
      </c>
      <c r="B5" s="115">
        <v>32</v>
      </c>
      <c r="C5" s="93" t="s">
        <v>213</v>
      </c>
      <c r="D5" s="115">
        <v>15</v>
      </c>
      <c r="E5" s="115" t="s">
        <v>209</v>
      </c>
      <c r="F5" s="115" t="s">
        <v>214</v>
      </c>
      <c r="G5" s="115">
        <v>0.06</v>
      </c>
    </row>
    <row r="6" spans="1:7" ht="31.5" x14ac:dyDescent="0.25">
      <c r="A6" s="115" t="s">
        <v>162</v>
      </c>
      <c r="B6" s="115">
        <v>147</v>
      </c>
      <c r="C6" s="93" t="s">
        <v>215</v>
      </c>
      <c r="D6" s="115">
        <v>15</v>
      </c>
      <c r="E6" s="115" t="s">
        <v>209</v>
      </c>
      <c r="F6" s="115" t="s">
        <v>214</v>
      </c>
      <c r="G6" s="115">
        <v>0.12</v>
      </c>
    </row>
    <row r="7" spans="1:7" ht="31.5" x14ac:dyDescent="0.25">
      <c r="A7" s="115" t="s">
        <v>216</v>
      </c>
      <c r="B7" s="115">
        <v>42</v>
      </c>
      <c r="C7" s="93" t="s">
        <v>217</v>
      </c>
      <c r="D7" s="115">
        <v>15</v>
      </c>
      <c r="E7" s="115" t="s">
        <v>209</v>
      </c>
      <c r="F7" s="115" t="s">
        <v>214</v>
      </c>
      <c r="G7" s="115">
        <v>0.2</v>
      </c>
    </row>
    <row r="8" spans="1:7" ht="31.5" x14ac:dyDescent="0.25">
      <c r="A8" s="115" t="s">
        <v>218</v>
      </c>
      <c r="B8" s="115">
        <v>71</v>
      </c>
      <c r="C8" s="93" t="s">
        <v>219</v>
      </c>
      <c r="D8" s="115">
        <v>15</v>
      </c>
      <c r="E8" s="115" t="s">
        <v>209</v>
      </c>
      <c r="F8" s="115" t="s">
        <v>210</v>
      </c>
      <c r="G8" s="115">
        <v>0.35299999999999998</v>
      </c>
    </row>
    <row r="9" spans="1:7" ht="31.5" x14ac:dyDescent="0.25">
      <c r="A9" s="115" t="s">
        <v>220</v>
      </c>
      <c r="B9" s="115">
        <v>56</v>
      </c>
      <c r="C9" s="93" t="s">
        <v>221</v>
      </c>
      <c r="D9" s="115">
        <v>15</v>
      </c>
      <c r="E9" s="115" t="s">
        <v>209</v>
      </c>
      <c r="F9" s="115" t="s">
        <v>222</v>
      </c>
      <c r="G9" s="115">
        <v>0.27500000000000002</v>
      </c>
    </row>
    <row r="10" spans="1:7" x14ac:dyDescent="0.25">
      <c r="G10">
        <f>SUM(G3:G9)</f>
        <v>1.5540000000000003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3"/>
  <sheetViews>
    <sheetView zoomScale="51" zoomScaleNormal="51" workbookViewId="0">
      <selection activeCell="I53" sqref="I53"/>
    </sheetView>
  </sheetViews>
  <sheetFormatPr defaultRowHeight="15" outlineLevelRow="1" x14ac:dyDescent="0.25"/>
  <cols>
    <col min="1" max="1" width="5.7109375" customWidth="1"/>
    <col min="2" max="2" width="20.85546875" customWidth="1"/>
    <col min="3" max="3" width="33.5703125" customWidth="1"/>
    <col min="4" max="4" width="27.5703125" customWidth="1"/>
    <col min="5" max="5" width="26.42578125" customWidth="1"/>
    <col min="6" max="6" width="22.7109375" customWidth="1"/>
    <col min="7" max="7" width="29.28515625" customWidth="1"/>
    <col min="8" max="8" width="31.5703125" customWidth="1"/>
    <col min="10" max="10" width="17.42578125" customWidth="1"/>
    <col min="11" max="11" width="12.140625" customWidth="1"/>
  </cols>
  <sheetData>
    <row r="1" spans="1:12" ht="42.75" customHeight="1" thickBot="1" x14ac:dyDescent="0.3">
      <c r="A1" s="286" t="s">
        <v>200</v>
      </c>
      <c r="B1" s="286"/>
      <c r="C1" s="286"/>
      <c r="D1" s="286"/>
      <c r="E1" s="286"/>
      <c r="F1" s="286"/>
      <c r="G1" s="286"/>
      <c r="H1" s="286"/>
      <c r="I1" s="1"/>
      <c r="J1" s="1"/>
      <c r="K1" s="1"/>
      <c r="L1" s="1"/>
    </row>
    <row r="2" spans="1:12" ht="131.25" customHeight="1" x14ac:dyDescent="0.25">
      <c r="A2" s="47" t="s">
        <v>164</v>
      </c>
      <c r="B2" s="48" t="s">
        <v>3</v>
      </c>
      <c r="C2" s="48" t="s">
        <v>4</v>
      </c>
      <c r="D2" s="48" t="s">
        <v>188</v>
      </c>
      <c r="E2" s="48" t="s">
        <v>101</v>
      </c>
      <c r="F2" s="48" t="s">
        <v>6</v>
      </c>
      <c r="G2" s="48" t="s">
        <v>7</v>
      </c>
      <c r="H2" s="49" t="s">
        <v>76</v>
      </c>
    </row>
    <row r="3" spans="1:12" ht="23.25" customHeight="1" thickBot="1" x14ac:dyDescent="0.3">
      <c r="A3" s="110">
        <v>1</v>
      </c>
      <c r="B3" s="111">
        <v>2</v>
      </c>
      <c r="C3" s="111">
        <v>3</v>
      </c>
      <c r="D3" s="111"/>
      <c r="E3" s="111">
        <v>4</v>
      </c>
      <c r="F3" s="111">
        <v>5</v>
      </c>
      <c r="G3" s="111">
        <v>6</v>
      </c>
      <c r="H3" s="112">
        <v>7</v>
      </c>
    </row>
    <row r="4" spans="1:12" ht="23.25" customHeight="1" x14ac:dyDescent="0.25">
      <c r="A4" s="320" t="s">
        <v>196</v>
      </c>
      <c r="B4" s="321"/>
      <c r="C4" s="321"/>
      <c r="D4" s="321"/>
      <c r="E4" s="321"/>
      <c r="F4" s="321"/>
      <c r="G4" s="321"/>
      <c r="H4" s="322"/>
    </row>
    <row r="5" spans="1:12" ht="23.25" customHeight="1" x14ac:dyDescent="0.25">
      <c r="A5" s="113">
        <v>1</v>
      </c>
      <c r="B5" s="4" t="s">
        <v>197</v>
      </c>
      <c r="C5" s="4"/>
      <c r="D5" s="4"/>
      <c r="E5" s="4">
        <v>0</v>
      </c>
      <c r="F5" s="4"/>
      <c r="G5" s="4"/>
      <c r="H5" s="50"/>
    </row>
    <row r="6" spans="1:12" ht="23.25" customHeight="1" x14ac:dyDescent="0.25">
      <c r="A6" s="323" t="s">
        <v>198</v>
      </c>
      <c r="B6" s="324"/>
      <c r="C6" s="324"/>
      <c r="D6" s="324"/>
      <c r="E6" s="324"/>
      <c r="F6" s="324"/>
      <c r="G6" s="324"/>
      <c r="H6" s="325"/>
    </row>
    <row r="7" spans="1:12" s="109" customFormat="1" ht="23.25" customHeight="1" x14ac:dyDescent="0.25">
      <c r="A7" s="108">
        <v>1</v>
      </c>
      <c r="B7" s="108" t="s">
        <v>197</v>
      </c>
      <c r="C7" s="108"/>
      <c r="D7" s="108"/>
      <c r="E7" s="108">
        <v>0</v>
      </c>
      <c r="F7" s="108"/>
      <c r="G7" s="108"/>
      <c r="H7" s="108"/>
    </row>
    <row r="8" spans="1:12" s="109" customFormat="1" ht="23.25" customHeight="1" x14ac:dyDescent="0.25">
      <c r="A8" s="326" t="s">
        <v>199</v>
      </c>
      <c r="B8" s="327"/>
      <c r="C8" s="327"/>
      <c r="D8" s="327"/>
      <c r="E8" s="327"/>
      <c r="F8" s="327"/>
      <c r="G8" s="327"/>
      <c r="H8" s="328"/>
    </row>
    <row r="9" spans="1:12" ht="22.5" customHeight="1" thickBot="1" x14ac:dyDescent="0.3">
      <c r="A9" s="329" t="s">
        <v>1</v>
      </c>
      <c r="B9" s="330"/>
      <c r="C9" s="330"/>
      <c r="D9" s="330"/>
      <c r="E9" s="330"/>
      <c r="F9" s="330"/>
      <c r="G9" s="330"/>
      <c r="H9" s="331"/>
    </row>
    <row r="10" spans="1:12" s="2" customFormat="1" ht="51.75" customHeight="1" outlineLevel="1" x14ac:dyDescent="0.25">
      <c r="A10" s="57">
        <v>1</v>
      </c>
      <c r="B10" s="68" t="s">
        <v>8</v>
      </c>
      <c r="C10" s="66" t="s">
        <v>9</v>
      </c>
      <c r="D10" s="58">
        <v>15</v>
      </c>
      <c r="E10" s="59">
        <v>9.9500000000000005E-2</v>
      </c>
      <c r="F10" s="60">
        <v>723537.62</v>
      </c>
      <c r="G10" s="61">
        <f>E10*F10</f>
        <v>71991.993190000008</v>
      </c>
      <c r="H10" s="62">
        <v>2</v>
      </c>
      <c r="K10" s="22"/>
    </row>
    <row r="11" spans="1:12" s="2" customFormat="1" ht="38.25" customHeight="1" outlineLevel="1" x14ac:dyDescent="0.25">
      <c r="A11" s="51">
        <v>2</v>
      </c>
      <c r="B11" s="69" t="s">
        <v>10</v>
      </c>
      <c r="C11" s="67" t="s">
        <v>11</v>
      </c>
      <c r="D11" s="6">
        <v>15</v>
      </c>
      <c r="E11" s="7">
        <v>9.4500000000000001E-2</v>
      </c>
      <c r="F11" s="25">
        <v>723537.62</v>
      </c>
      <c r="G11" s="23">
        <f t="shared" ref="G11:G32" si="0">E11*F11</f>
        <v>68374.305089999994</v>
      </c>
      <c r="H11" s="50">
        <v>2</v>
      </c>
      <c r="K11" s="22"/>
    </row>
    <row r="12" spans="1:12" s="2" customFormat="1" ht="38.25" customHeight="1" outlineLevel="1" x14ac:dyDescent="0.25">
      <c r="A12" s="51">
        <v>3</v>
      </c>
      <c r="B12" s="69" t="s">
        <v>12</v>
      </c>
      <c r="C12" s="67" t="s">
        <v>13</v>
      </c>
      <c r="D12" s="6">
        <v>15</v>
      </c>
      <c r="E12" s="7">
        <v>0.06</v>
      </c>
      <c r="F12" s="25">
        <v>723537.62</v>
      </c>
      <c r="G12" s="23">
        <f t="shared" si="0"/>
        <v>43412.2572</v>
      </c>
      <c r="H12" s="50">
        <v>1</v>
      </c>
      <c r="K12" s="22"/>
    </row>
    <row r="13" spans="1:12" s="2" customFormat="1" ht="38.25" customHeight="1" outlineLevel="1" x14ac:dyDescent="0.25">
      <c r="A13" s="51">
        <v>4</v>
      </c>
      <c r="B13" s="69" t="s">
        <v>14</v>
      </c>
      <c r="C13" s="67" t="s">
        <v>15</v>
      </c>
      <c r="D13" s="6">
        <v>15</v>
      </c>
      <c r="E13" s="7">
        <v>0.106</v>
      </c>
      <c r="F13" s="25">
        <v>723537.62</v>
      </c>
      <c r="G13" s="23">
        <f t="shared" si="0"/>
        <v>76694.98771999999</v>
      </c>
      <c r="H13" s="50">
        <v>3</v>
      </c>
      <c r="K13" s="22"/>
    </row>
    <row r="14" spans="1:12" s="2" customFormat="1" ht="43.5" customHeight="1" outlineLevel="1" x14ac:dyDescent="0.25">
      <c r="A14" s="51">
        <v>5</v>
      </c>
      <c r="B14" s="69" t="s">
        <v>16</v>
      </c>
      <c r="C14" s="67" t="s">
        <v>17</v>
      </c>
      <c r="D14" s="6">
        <v>15</v>
      </c>
      <c r="E14" s="7">
        <v>4.4999999999999998E-2</v>
      </c>
      <c r="F14" s="25">
        <v>723537.62</v>
      </c>
      <c r="G14" s="23">
        <f t="shared" si="0"/>
        <v>32559.192899999998</v>
      </c>
      <c r="H14" s="50">
        <v>1</v>
      </c>
      <c r="K14" s="22"/>
    </row>
    <row r="15" spans="1:12" s="2" customFormat="1" ht="38.25" customHeight="1" outlineLevel="1" x14ac:dyDescent="0.25">
      <c r="A15" s="51">
        <v>6</v>
      </c>
      <c r="B15" s="69" t="s">
        <v>19</v>
      </c>
      <c r="C15" s="67" t="s">
        <v>20</v>
      </c>
      <c r="D15" s="6">
        <v>15</v>
      </c>
      <c r="E15" s="7">
        <v>0.08</v>
      </c>
      <c r="F15" s="25">
        <v>723537.62</v>
      </c>
      <c r="G15" s="23">
        <f t="shared" si="0"/>
        <v>57883.009599999998</v>
      </c>
      <c r="H15" s="50">
        <v>2</v>
      </c>
      <c r="K15" s="22"/>
    </row>
    <row r="16" spans="1:12" s="2" customFormat="1" ht="38.25" customHeight="1" outlineLevel="1" x14ac:dyDescent="0.25">
      <c r="A16" s="51">
        <v>7</v>
      </c>
      <c r="B16" s="69" t="s">
        <v>21</v>
      </c>
      <c r="C16" s="67" t="s">
        <v>22</v>
      </c>
      <c r="D16" s="6">
        <v>15</v>
      </c>
      <c r="E16" s="7">
        <v>1.7500000000000002E-2</v>
      </c>
      <c r="F16" s="25">
        <v>723537.62</v>
      </c>
      <c r="G16" s="23">
        <f t="shared" si="0"/>
        <v>12661.908350000002</v>
      </c>
      <c r="H16" s="50">
        <v>1</v>
      </c>
      <c r="K16" s="22"/>
    </row>
    <row r="17" spans="1:11" s="2" customFormat="1" ht="38.25" customHeight="1" outlineLevel="1" x14ac:dyDescent="0.25">
      <c r="A17" s="51">
        <v>8</v>
      </c>
      <c r="B17" s="69" t="s">
        <v>24</v>
      </c>
      <c r="C17" s="67" t="s">
        <v>25</v>
      </c>
      <c r="D17" s="6">
        <v>15</v>
      </c>
      <c r="E17" s="7">
        <v>0.04</v>
      </c>
      <c r="F17" s="25">
        <v>723537.62</v>
      </c>
      <c r="G17" s="23">
        <f t="shared" si="0"/>
        <v>28941.504799999999</v>
      </c>
      <c r="H17" s="50">
        <v>1</v>
      </c>
      <c r="K17" s="22"/>
    </row>
    <row r="18" spans="1:11" s="2" customFormat="1" ht="38.25" customHeight="1" outlineLevel="1" x14ac:dyDescent="0.25">
      <c r="A18" s="51">
        <v>9</v>
      </c>
      <c r="B18" s="69" t="s">
        <v>26</v>
      </c>
      <c r="C18" s="67" t="s">
        <v>27</v>
      </c>
      <c r="D18" s="6">
        <v>15</v>
      </c>
      <c r="E18" s="7">
        <v>6.7500000000000004E-2</v>
      </c>
      <c r="F18" s="25">
        <v>723537.62</v>
      </c>
      <c r="G18" s="23">
        <f t="shared" si="0"/>
        <v>48838.789350000006</v>
      </c>
      <c r="H18" s="50">
        <v>2</v>
      </c>
      <c r="K18" s="22"/>
    </row>
    <row r="19" spans="1:11" s="2" customFormat="1" ht="38.25" customHeight="1" outlineLevel="1" x14ac:dyDescent="0.25">
      <c r="A19" s="51">
        <v>10</v>
      </c>
      <c r="B19" s="69" t="s">
        <v>28</v>
      </c>
      <c r="C19" s="67" t="s">
        <v>29</v>
      </c>
      <c r="D19" s="6">
        <v>15</v>
      </c>
      <c r="E19" s="7">
        <v>5.45E-2</v>
      </c>
      <c r="F19" s="25">
        <v>723537.62</v>
      </c>
      <c r="G19" s="23">
        <f t="shared" si="0"/>
        <v>39432.800289999999</v>
      </c>
      <c r="H19" s="50">
        <v>2</v>
      </c>
      <c r="K19" s="22"/>
    </row>
    <row r="20" spans="1:11" s="2" customFormat="1" ht="38.25" customHeight="1" outlineLevel="1" x14ac:dyDescent="0.25">
      <c r="A20" s="51">
        <v>11</v>
      </c>
      <c r="B20" s="69" t="s">
        <v>30</v>
      </c>
      <c r="C20" s="67" t="s">
        <v>31</v>
      </c>
      <c r="D20" s="6">
        <v>15</v>
      </c>
      <c r="E20" s="7">
        <v>0.08</v>
      </c>
      <c r="F20" s="25">
        <v>723537.62</v>
      </c>
      <c r="G20" s="23">
        <f t="shared" si="0"/>
        <v>57883.009599999998</v>
      </c>
      <c r="H20" s="50">
        <v>2</v>
      </c>
      <c r="K20" s="22"/>
    </row>
    <row r="21" spans="1:11" s="2" customFormat="1" ht="38.25" customHeight="1" outlineLevel="1" x14ac:dyDescent="0.25">
      <c r="A21" s="51">
        <v>12</v>
      </c>
      <c r="B21" s="69" t="s">
        <v>32</v>
      </c>
      <c r="C21" s="67" t="s">
        <v>33</v>
      </c>
      <c r="D21" s="6">
        <v>15</v>
      </c>
      <c r="E21" s="7">
        <v>4.4999999999999998E-2</v>
      </c>
      <c r="F21" s="25">
        <v>723537.62</v>
      </c>
      <c r="G21" s="23">
        <f t="shared" si="0"/>
        <v>32559.192899999998</v>
      </c>
      <c r="H21" s="50">
        <v>1</v>
      </c>
      <c r="K21" s="22"/>
    </row>
    <row r="22" spans="1:11" s="2" customFormat="1" ht="38.25" customHeight="1" outlineLevel="1" x14ac:dyDescent="0.25">
      <c r="A22" s="51">
        <v>13</v>
      </c>
      <c r="B22" s="69" t="s">
        <v>34</v>
      </c>
      <c r="C22" s="67" t="s">
        <v>35</v>
      </c>
      <c r="D22" s="6">
        <v>15</v>
      </c>
      <c r="E22" s="7">
        <v>3.5000000000000003E-2</v>
      </c>
      <c r="F22" s="25">
        <v>723537.62</v>
      </c>
      <c r="G22" s="23">
        <f t="shared" si="0"/>
        <v>25323.816700000003</v>
      </c>
      <c r="H22" s="50">
        <v>1</v>
      </c>
      <c r="K22" s="22"/>
    </row>
    <row r="23" spans="1:11" s="2" customFormat="1" ht="38.25" customHeight="1" outlineLevel="1" x14ac:dyDescent="0.25">
      <c r="A23" s="51">
        <v>14</v>
      </c>
      <c r="B23" s="69" t="s">
        <v>36</v>
      </c>
      <c r="C23" s="67" t="s">
        <v>37</v>
      </c>
      <c r="D23" s="6">
        <v>15</v>
      </c>
      <c r="E23" s="7">
        <v>0.22</v>
      </c>
      <c r="F23" s="25">
        <v>723537.62</v>
      </c>
      <c r="G23" s="23">
        <f t="shared" si="0"/>
        <v>159178.2764</v>
      </c>
      <c r="H23" s="50">
        <v>5</v>
      </c>
      <c r="K23" s="22"/>
    </row>
    <row r="24" spans="1:11" s="2" customFormat="1" ht="38.25" customHeight="1" outlineLevel="1" x14ac:dyDescent="0.25">
      <c r="A24" s="51">
        <v>15</v>
      </c>
      <c r="B24" s="69" t="s">
        <v>38</v>
      </c>
      <c r="C24" s="67" t="s">
        <v>39</v>
      </c>
      <c r="D24" s="6">
        <v>15</v>
      </c>
      <c r="E24" s="7">
        <v>1.4999999999999999E-2</v>
      </c>
      <c r="F24" s="25">
        <v>723537.62</v>
      </c>
      <c r="G24" s="23">
        <f t="shared" si="0"/>
        <v>10853.0643</v>
      </c>
      <c r="H24" s="50">
        <v>1</v>
      </c>
      <c r="K24" s="22"/>
    </row>
    <row r="25" spans="1:11" s="2" customFormat="1" ht="38.25" customHeight="1" outlineLevel="1" x14ac:dyDescent="0.25">
      <c r="A25" s="51">
        <v>16</v>
      </c>
      <c r="B25" s="69" t="s">
        <v>40</v>
      </c>
      <c r="C25" s="67" t="s">
        <v>41</v>
      </c>
      <c r="D25" s="6">
        <v>15</v>
      </c>
      <c r="E25" s="7">
        <v>6.7500000000000004E-2</v>
      </c>
      <c r="F25" s="25">
        <v>723537.62</v>
      </c>
      <c r="G25" s="23">
        <f t="shared" si="0"/>
        <v>48838.789350000006</v>
      </c>
      <c r="H25" s="50">
        <v>2</v>
      </c>
      <c r="K25" s="22"/>
    </row>
    <row r="26" spans="1:11" s="2" customFormat="1" ht="38.25" customHeight="1" outlineLevel="1" x14ac:dyDescent="0.25">
      <c r="A26" s="51">
        <v>17</v>
      </c>
      <c r="B26" s="69" t="s">
        <v>42</v>
      </c>
      <c r="C26" s="67" t="s">
        <v>43</v>
      </c>
      <c r="D26" s="6">
        <v>15</v>
      </c>
      <c r="E26" s="7">
        <v>0.06</v>
      </c>
      <c r="F26" s="25">
        <v>723537.62</v>
      </c>
      <c r="G26" s="23">
        <f t="shared" si="0"/>
        <v>43412.2572</v>
      </c>
      <c r="H26" s="50">
        <v>2</v>
      </c>
      <c r="K26" s="22"/>
    </row>
    <row r="27" spans="1:11" s="2" customFormat="1" ht="38.25" customHeight="1" outlineLevel="1" x14ac:dyDescent="0.25">
      <c r="A27" s="51">
        <v>18</v>
      </c>
      <c r="B27" s="69" t="s">
        <v>44</v>
      </c>
      <c r="C27" s="67" t="s">
        <v>45</v>
      </c>
      <c r="D27" s="6">
        <v>15</v>
      </c>
      <c r="E27" s="7">
        <v>7.4999999999999997E-2</v>
      </c>
      <c r="F27" s="25">
        <v>723537.62</v>
      </c>
      <c r="G27" s="23">
        <f t="shared" si="0"/>
        <v>54265.321499999998</v>
      </c>
      <c r="H27" s="50">
        <v>2</v>
      </c>
      <c r="K27" s="22"/>
    </row>
    <row r="28" spans="1:11" s="2" customFormat="1" ht="38.25" customHeight="1" outlineLevel="1" x14ac:dyDescent="0.25">
      <c r="A28" s="51">
        <v>19</v>
      </c>
      <c r="B28" s="69" t="s">
        <v>46</v>
      </c>
      <c r="C28" s="67" t="s">
        <v>47</v>
      </c>
      <c r="D28" s="6">
        <v>15</v>
      </c>
      <c r="E28" s="7">
        <v>7.1999999999999995E-2</v>
      </c>
      <c r="F28" s="25">
        <v>723537.62</v>
      </c>
      <c r="G28" s="23">
        <f t="shared" si="0"/>
        <v>52094.708639999997</v>
      </c>
      <c r="H28" s="50">
        <v>2</v>
      </c>
      <c r="K28" s="22"/>
    </row>
    <row r="29" spans="1:11" s="2" customFormat="1" ht="38.25" customHeight="1" outlineLevel="1" x14ac:dyDescent="0.25">
      <c r="A29" s="51">
        <v>20</v>
      </c>
      <c r="B29" s="69" t="s">
        <v>48</v>
      </c>
      <c r="C29" s="67" t="s">
        <v>49</v>
      </c>
      <c r="D29" s="6">
        <v>15</v>
      </c>
      <c r="E29" s="7">
        <v>0.09</v>
      </c>
      <c r="F29" s="25">
        <v>723537.62</v>
      </c>
      <c r="G29" s="23">
        <f t="shared" si="0"/>
        <v>65118.385799999996</v>
      </c>
      <c r="H29" s="50">
        <v>2</v>
      </c>
      <c r="K29" s="22"/>
    </row>
    <row r="30" spans="1:11" s="2" customFormat="1" ht="38.25" customHeight="1" outlineLevel="1" x14ac:dyDescent="0.25">
      <c r="A30" s="51">
        <v>21</v>
      </c>
      <c r="B30" s="69" t="s">
        <v>50</v>
      </c>
      <c r="C30" s="67" t="s">
        <v>51</v>
      </c>
      <c r="D30" s="6">
        <v>15</v>
      </c>
      <c r="E30" s="7">
        <v>4.2500000000000003E-2</v>
      </c>
      <c r="F30" s="25">
        <v>723537.62</v>
      </c>
      <c r="G30" s="23">
        <f t="shared" si="0"/>
        <v>30750.348850000002</v>
      </c>
      <c r="H30" s="50">
        <v>1</v>
      </c>
      <c r="K30" s="22"/>
    </row>
    <row r="31" spans="1:11" s="2" customFormat="1" ht="38.25" customHeight="1" outlineLevel="1" x14ac:dyDescent="0.25">
      <c r="A31" s="51">
        <v>22</v>
      </c>
      <c r="B31" s="69" t="s">
        <v>53</v>
      </c>
      <c r="C31" s="67" t="s">
        <v>54</v>
      </c>
      <c r="D31" s="6">
        <v>15</v>
      </c>
      <c r="E31" s="7">
        <v>0.125</v>
      </c>
      <c r="F31" s="25">
        <v>723537.62</v>
      </c>
      <c r="G31" s="23">
        <f t="shared" si="0"/>
        <v>90442.202499999999</v>
      </c>
      <c r="H31" s="50">
        <v>3</v>
      </c>
      <c r="K31" s="22"/>
    </row>
    <row r="32" spans="1:11" s="2" customFormat="1" ht="38.25" customHeight="1" outlineLevel="1" x14ac:dyDescent="0.25">
      <c r="A32" s="51">
        <v>23</v>
      </c>
      <c r="B32" s="69" t="s">
        <v>70</v>
      </c>
      <c r="C32" s="67" t="s">
        <v>71</v>
      </c>
      <c r="D32" s="6">
        <v>15</v>
      </c>
      <c r="E32" s="7">
        <v>7.85E-2</v>
      </c>
      <c r="F32" s="25">
        <v>723537.62</v>
      </c>
      <c r="G32" s="23">
        <f t="shared" si="0"/>
        <v>56797.703170000001</v>
      </c>
      <c r="H32" s="50">
        <v>2</v>
      </c>
      <c r="K32" s="22"/>
    </row>
    <row r="33" spans="1:8" s="2" customFormat="1" ht="30" customHeight="1" thickBot="1" x14ac:dyDescent="0.3">
      <c r="A33" s="77"/>
      <c r="B33" s="78" t="s">
        <v>55</v>
      </c>
      <c r="C33" s="78"/>
      <c r="D33" s="78"/>
      <c r="E33" s="79">
        <v>1.67</v>
      </c>
      <c r="F33" s="78"/>
      <c r="G33" s="80">
        <f>SUM(G10:G32)</f>
        <v>1208307.8254</v>
      </c>
      <c r="H33" s="81"/>
    </row>
    <row r="34" spans="1:8" s="39" customFormat="1" ht="30" customHeight="1" thickBot="1" x14ac:dyDescent="0.3">
      <c r="A34" s="287" t="s">
        <v>56</v>
      </c>
      <c r="B34" s="288"/>
      <c r="C34" s="288"/>
      <c r="D34" s="288"/>
      <c r="E34" s="288"/>
      <c r="F34" s="288"/>
      <c r="G34" s="288"/>
      <c r="H34" s="289"/>
    </row>
    <row r="35" spans="1:8" s="2" customFormat="1" ht="46.5" customHeight="1" outlineLevel="1" x14ac:dyDescent="0.25">
      <c r="A35" s="57">
        <v>24</v>
      </c>
      <c r="B35" s="68" t="s">
        <v>57</v>
      </c>
      <c r="C35" s="58" t="s">
        <v>58</v>
      </c>
      <c r="D35" s="58">
        <v>30</v>
      </c>
      <c r="E35" s="59">
        <v>0.06</v>
      </c>
      <c r="F35" s="60">
        <v>868631.38</v>
      </c>
      <c r="G35" s="63">
        <f>E35*F35</f>
        <v>52117.882799999999</v>
      </c>
      <c r="H35" s="64">
        <v>2</v>
      </c>
    </row>
    <row r="36" spans="1:8" s="2" customFormat="1" ht="46.5" customHeight="1" outlineLevel="1" x14ac:dyDescent="0.25">
      <c r="A36" s="51">
        <v>25</v>
      </c>
      <c r="B36" s="69" t="s">
        <v>59</v>
      </c>
      <c r="C36" s="6" t="s">
        <v>100</v>
      </c>
      <c r="D36" s="6">
        <v>30</v>
      </c>
      <c r="E36" s="7">
        <v>7.4999999999999997E-2</v>
      </c>
      <c r="F36" s="25">
        <v>868631.38</v>
      </c>
      <c r="G36" s="35">
        <f t="shared" ref="G36:G39" si="1">E36*F36</f>
        <v>65147.353499999997</v>
      </c>
      <c r="H36" s="50">
        <v>2</v>
      </c>
    </row>
    <row r="37" spans="1:8" s="2" customFormat="1" ht="46.5" customHeight="1" outlineLevel="1" x14ac:dyDescent="0.25">
      <c r="A37" s="51">
        <v>26</v>
      </c>
      <c r="B37" s="69" t="s">
        <v>60</v>
      </c>
      <c r="C37" s="6" t="s">
        <v>61</v>
      </c>
      <c r="D37" s="6">
        <v>30</v>
      </c>
      <c r="E37" s="7">
        <v>0.115</v>
      </c>
      <c r="F37" s="25">
        <v>868631.38</v>
      </c>
      <c r="G37" s="35">
        <f t="shared" si="1"/>
        <v>99892.608700000012</v>
      </c>
      <c r="H37" s="50">
        <v>3</v>
      </c>
    </row>
    <row r="38" spans="1:8" s="2" customFormat="1" ht="46.5" customHeight="1" outlineLevel="1" x14ac:dyDescent="0.25">
      <c r="A38" s="51">
        <v>27</v>
      </c>
      <c r="B38" s="69" t="s">
        <v>62</v>
      </c>
      <c r="C38" s="6" t="s">
        <v>63</v>
      </c>
      <c r="D38" s="6">
        <v>30</v>
      </c>
      <c r="E38" s="7">
        <v>8.5000000000000006E-2</v>
      </c>
      <c r="F38" s="25">
        <v>868631.38</v>
      </c>
      <c r="G38" s="35">
        <f t="shared" si="1"/>
        <v>73833.667300000001</v>
      </c>
      <c r="H38" s="50">
        <v>2</v>
      </c>
    </row>
    <row r="39" spans="1:8" s="2" customFormat="1" ht="46.5" customHeight="1" outlineLevel="1" x14ac:dyDescent="0.25">
      <c r="A39" s="51">
        <v>28</v>
      </c>
      <c r="B39" s="69" t="s">
        <v>72</v>
      </c>
      <c r="C39" s="6" t="s">
        <v>73</v>
      </c>
      <c r="D39" s="6">
        <v>35</v>
      </c>
      <c r="E39" s="7">
        <v>7.2499999999999995E-2</v>
      </c>
      <c r="F39" s="25">
        <v>868631.38</v>
      </c>
      <c r="G39" s="35">
        <f t="shared" si="1"/>
        <v>62975.775049999997</v>
      </c>
      <c r="H39" s="50">
        <v>2</v>
      </c>
    </row>
    <row r="40" spans="1:8" s="2" customFormat="1" ht="30" customHeight="1" thickBot="1" x14ac:dyDescent="0.3">
      <c r="A40" s="77"/>
      <c r="B40" s="78" t="s">
        <v>55</v>
      </c>
      <c r="C40" s="78"/>
      <c r="D40" s="78"/>
      <c r="E40" s="79">
        <v>0.40749999999999997</v>
      </c>
      <c r="F40" s="78"/>
      <c r="G40" s="80">
        <f>SUM(G35:G39)</f>
        <v>353967.28735</v>
      </c>
      <c r="H40" s="82"/>
    </row>
    <row r="41" spans="1:8" s="2" customFormat="1" ht="30" customHeight="1" thickBot="1" x14ac:dyDescent="0.3">
      <c r="A41" s="287" t="s">
        <v>74</v>
      </c>
      <c r="B41" s="288"/>
      <c r="C41" s="288"/>
      <c r="D41" s="288"/>
      <c r="E41" s="288"/>
      <c r="F41" s="288"/>
      <c r="G41" s="288"/>
      <c r="H41" s="289"/>
    </row>
    <row r="42" spans="1:8" s="2" customFormat="1" ht="45" customHeight="1" x14ac:dyDescent="0.25">
      <c r="A42" s="57">
        <v>29</v>
      </c>
      <c r="B42" s="68" t="s">
        <v>75</v>
      </c>
      <c r="C42" s="58" t="s">
        <v>99</v>
      </c>
      <c r="D42" s="58">
        <v>65</v>
      </c>
      <c r="E42" s="59">
        <v>0.08</v>
      </c>
      <c r="F42" s="65">
        <v>1046440.74</v>
      </c>
      <c r="G42" s="63">
        <f>E42*F42</f>
        <v>83715.2592</v>
      </c>
      <c r="H42" s="64">
        <v>2</v>
      </c>
    </row>
    <row r="43" spans="1:8" ht="27" customHeight="1" x14ac:dyDescent="0.25">
      <c r="A43" s="52"/>
      <c r="B43" s="11" t="s">
        <v>55</v>
      </c>
      <c r="C43" s="11"/>
      <c r="D43" s="11"/>
      <c r="E43" s="12">
        <f>E42</f>
        <v>0.08</v>
      </c>
      <c r="F43" s="11"/>
      <c r="G43" s="24">
        <f>G42</f>
        <v>83715.2592</v>
      </c>
      <c r="H43" s="53"/>
    </row>
    <row r="44" spans="1:8" ht="38.25" customHeight="1" thickBot="1" x14ac:dyDescent="0.3">
      <c r="A44" s="70"/>
      <c r="B44" s="71" t="s">
        <v>68</v>
      </c>
      <c r="C44" s="72"/>
      <c r="D44" s="72"/>
      <c r="E44" s="75">
        <f>E33+E40+E43</f>
        <v>2.1574999999999998</v>
      </c>
      <c r="F44" s="73"/>
      <c r="G44" s="76">
        <f>G33+G40+G43</f>
        <v>1645990.3719499998</v>
      </c>
      <c r="H44" s="74"/>
    </row>
    <row r="45" spans="1:8" ht="27.75" customHeight="1" x14ac:dyDescent="0.25">
      <c r="A45" s="40"/>
      <c r="B45" s="41"/>
      <c r="C45" s="42"/>
      <c r="D45" s="42"/>
      <c r="E45" s="43"/>
      <c r="F45" s="44"/>
      <c r="G45" s="45"/>
      <c r="H45" s="46"/>
    </row>
    <row r="46" spans="1:8" ht="35.25" customHeight="1" x14ac:dyDescent="0.25">
      <c r="A46" s="290" t="s">
        <v>64</v>
      </c>
      <c r="B46" s="291"/>
      <c r="C46" s="291"/>
      <c r="D46" s="291"/>
      <c r="E46" s="291"/>
      <c r="F46" s="291"/>
      <c r="G46" s="291"/>
      <c r="H46" s="292"/>
    </row>
    <row r="47" spans="1:8" ht="33.75" customHeight="1" x14ac:dyDescent="0.25">
      <c r="A47" s="3">
        <v>1</v>
      </c>
      <c r="B47" s="281" t="s">
        <v>65</v>
      </c>
      <c r="C47" s="282"/>
      <c r="D47" s="114"/>
      <c r="E47" s="37">
        <v>0.8</v>
      </c>
      <c r="F47" s="38"/>
      <c r="G47" s="35">
        <v>882203</v>
      </c>
      <c r="H47" s="3"/>
    </row>
    <row r="48" spans="1:8" ht="33.75" customHeight="1" x14ac:dyDescent="0.25">
      <c r="A48" s="3">
        <v>2</v>
      </c>
      <c r="B48" s="281" t="s">
        <v>67</v>
      </c>
      <c r="C48" s="282"/>
      <c r="D48" s="114"/>
      <c r="E48" s="37"/>
      <c r="F48" s="38"/>
      <c r="G48" s="35">
        <v>1386441</v>
      </c>
      <c r="H48" s="3"/>
    </row>
    <row r="49" spans="1:8" ht="15.75" x14ac:dyDescent="0.25">
      <c r="A49" s="11"/>
      <c r="B49" s="11" t="s">
        <v>55</v>
      </c>
      <c r="C49" s="11"/>
      <c r="D49" s="11"/>
      <c r="E49" s="12">
        <f>E47+E48</f>
        <v>0.8</v>
      </c>
      <c r="F49" s="11"/>
      <c r="G49" s="24">
        <f>SUM(G47:G48)</f>
        <v>2268644</v>
      </c>
      <c r="H49" s="11"/>
    </row>
    <row r="52" spans="1:8" ht="65.25" customHeight="1" x14ac:dyDescent="0.35">
      <c r="A52" s="84"/>
      <c r="B52" s="84"/>
      <c r="C52" s="84"/>
      <c r="D52" s="84"/>
      <c r="E52" s="84"/>
      <c r="F52" s="84"/>
      <c r="G52" s="85"/>
      <c r="H52" s="86" t="s">
        <v>201</v>
      </c>
    </row>
    <row r="53" spans="1:8" x14ac:dyDescent="0.25">
      <c r="G53" s="36"/>
    </row>
  </sheetData>
  <mergeCells count="10">
    <mergeCell ref="A41:H41"/>
    <mergeCell ref="A46:H46"/>
    <mergeCell ref="B47:C47"/>
    <mergeCell ref="B48:C48"/>
    <mergeCell ref="A1:H1"/>
    <mergeCell ref="A4:H4"/>
    <mergeCell ref="A6:H6"/>
    <mergeCell ref="A8:H8"/>
    <mergeCell ref="A9:H9"/>
    <mergeCell ref="A34:H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6"/>
  <sheetViews>
    <sheetView topLeftCell="A7" zoomScale="73" zoomScaleNormal="73" workbookViewId="0">
      <selection activeCell="J4" sqref="J4:K4"/>
    </sheetView>
  </sheetViews>
  <sheetFormatPr defaultColWidth="9.140625" defaultRowHeight="15.75" outlineLevelRow="1" x14ac:dyDescent="0.25"/>
  <cols>
    <col min="1" max="1" width="18.42578125" style="87" customWidth="1"/>
    <col min="2" max="2" width="18.85546875" style="87" customWidth="1"/>
    <col min="3" max="3" width="9.140625" style="87"/>
    <col min="4" max="4" width="14.140625" style="87" customWidth="1"/>
    <col min="5" max="5" width="16.7109375" style="87" customWidth="1"/>
    <col min="6" max="8" width="10.7109375" style="87" customWidth="1"/>
    <col min="9" max="9" width="14.28515625" style="87" customWidth="1"/>
    <col min="10" max="10" width="14.5703125" style="87" customWidth="1"/>
    <col min="11" max="11" width="14.140625" style="87" customWidth="1"/>
    <col min="12" max="16384" width="9.140625" style="87"/>
  </cols>
  <sheetData>
    <row r="2" spans="1:13" ht="44.25" customHeight="1" x14ac:dyDescent="0.25">
      <c r="A2" s="302" t="s">
        <v>223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4" spans="1:13" ht="30" customHeight="1" x14ac:dyDescent="0.25">
      <c r="A4" s="333" t="s">
        <v>224</v>
      </c>
      <c r="B4" s="333" t="s">
        <v>225</v>
      </c>
      <c r="C4" s="333" t="s">
        <v>226</v>
      </c>
      <c r="D4" s="127" t="s">
        <v>227</v>
      </c>
      <c r="E4" s="304" t="s">
        <v>228</v>
      </c>
      <c r="F4" s="304"/>
      <c r="G4" s="304"/>
      <c r="H4" s="304"/>
      <c r="I4" s="304"/>
      <c r="J4" s="305" t="s">
        <v>229</v>
      </c>
      <c r="K4" s="307"/>
    </row>
    <row r="5" spans="1:13" ht="57.75" customHeight="1" x14ac:dyDescent="0.25">
      <c r="A5" s="334"/>
      <c r="B5" s="334"/>
      <c r="C5" s="334"/>
      <c r="D5" s="115" t="s">
        <v>230</v>
      </c>
      <c r="E5" s="130" t="s">
        <v>231</v>
      </c>
      <c r="F5" s="115" t="s">
        <v>232</v>
      </c>
      <c r="G5" s="115" t="s">
        <v>233</v>
      </c>
      <c r="H5" s="157" t="s">
        <v>275</v>
      </c>
      <c r="I5" s="130" t="s">
        <v>234</v>
      </c>
      <c r="J5" s="115" t="s">
        <v>231</v>
      </c>
      <c r="K5" s="115" t="s">
        <v>235</v>
      </c>
    </row>
    <row r="6" spans="1:13" x14ac:dyDescent="0.25">
      <c r="A6" s="115">
        <v>1</v>
      </c>
      <c r="B6" s="115">
        <v>2</v>
      </c>
      <c r="C6" s="115">
        <v>3</v>
      </c>
      <c r="D6" s="115">
        <v>4</v>
      </c>
      <c r="E6" s="130">
        <v>5</v>
      </c>
      <c r="F6" s="115">
        <v>6</v>
      </c>
      <c r="G6" s="115">
        <v>7</v>
      </c>
      <c r="H6" s="157"/>
      <c r="I6" s="130">
        <v>8</v>
      </c>
      <c r="J6" s="115">
        <v>9</v>
      </c>
      <c r="K6" s="115">
        <v>10</v>
      </c>
    </row>
    <row r="7" spans="1:13" ht="15.75" customHeight="1" x14ac:dyDescent="0.25">
      <c r="A7" s="333" t="s">
        <v>236</v>
      </c>
      <c r="B7" s="131" t="s">
        <v>237</v>
      </c>
      <c r="C7" s="132" t="s">
        <v>238</v>
      </c>
      <c r="D7" s="96">
        <v>751700</v>
      </c>
      <c r="E7" s="133">
        <v>0.1</v>
      </c>
      <c r="F7" s="96">
        <f>'[1]Факт 2017'!G5+'[1]Факт 2017'!G6+'[1]Факт 2017'!G7</f>
        <v>0.38</v>
      </c>
      <c r="G7" s="96">
        <f>'[1]Факт 2016'!E33</f>
        <v>1.67</v>
      </c>
      <c r="H7" s="96">
        <v>3.343</v>
      </c>
      <c r="I7" s="133">
        <f>(F7+G7)/2</f>
        <v>1.0249999999999999</v>
      </c>
      <c r="J7" s="96">
        <f>D7*E7</f>
        <v>75170</v>
      </c>
      <c r="K7" s="96">
        <f>D7*I7</f>
        <v>770492.49999999988</v>
      </c>
      <c r="M7" s="87">
        <v>0.06</v>
      </c>
    </row>
    <row r="8" spans="1:13" x14ac:dyDescent="0.25">
      <c r="A8" s="337"/>
      <c r="B8" s="131" t="s">
        <v>239</v>
      </c>
      <c r="C8" s="132" t="s">
        <v>238</v>
      </c>
      <c r="D8" s="96">
        <v>851590</v>
      </c>
      <c r="E8" s="133">
        <v>0.1</v>
      </c>
      <c r="F8" s="96"/>
      <c r="G8" s="96"/>
      <c r="H8" s="96"/>
      <c r="I8" s="133">
        <f t="shared" ref="I8:I13" si="0">(F8+G8)/2</f>
        <v>0</v>
      </c>
      <c r="J8" s="96">
        <f t="shared" ref="J8:J13" si="1">D8*E8</f>
        <v>85159</v>
      </c>
      <c r="K8" s="96">
        <f t="shared" ref="K8:K13" si="2">D8*I8</f>
        <v>0</v>
      </c>
    </row>
    <row r="9" spans="1:13" x14ac:dyDescent="0.25">
      <c r="A9" s="337"/>
      <c r="B9" s="131" t="s">
        <v>240</v>
      </c>
      <c r="C9" s="132" t="s">
        <v>241</v>
      </c>
      <c r="D9" s="96"/>
      <c r="E9" s="133">
        <v>0</v>
      </c>
      <c r="F9" s="96"/>
      <c r="G9" s="96"/>
      <c r="H9" s="96"/>
      <c r="I9" s="133">
        <f t="shared" si="0"/>
        <v>0</v>
      </c>
      <c r="J9" s="96">
        <f t="shared" si="1"/>
        <v>0</v>
      </c>
      <c r="K9" s="96">
        <f t="shared" si="2"/>
        <v>0</v>
      </c>
    </row>
    <row r="10" spans="1:13" x14ac:dyDescent="0.25">
      <c r="A10" s="337"/>
      <c r="B10" s="131" t="s">
        <v>242</v>
      </c>
      <c r="C10" s="132" t="s">
        <v>238</v>
      </c>
      <c r="D10" s="96"/>
      <c r="E10" s="133">
        <v>0</v>
      </c>
      <c r="F10" s="96"/>
      <c r="G10" s="96"/>
      <c r="H10" s="96"/>
      <c r="I10" s="133">
        <f t="shared" si="0"/>
        <v>0</v>
      </c>
      <c r="J10" s="96">
        <f t="shared" si="1"/>
        <v>0</v>
      </c>
      <c r="K10" s="96">
        <f t="shared" si="2"/>
        <v>0</v>
      </c>
    </row>
    <row r="11" spans="1:13" x14ac:dyDescent="0.25">
      <c r="A11" s="337"/>
      <c r="B11" s="131" t="s">
        <v>243</v>
      </c>
      <c r="C11" s="132" t="s">
        <v>238</v>
      </c>
      <c r="D11" s="96"/>
      <c r="E11" s="133">
        <v>0</v>
      </c>
      <c r="F11" s="96"/>
      <c r="G11" s="96"/>
      <c r="H11" s="96"/>
      <c r="I11" s="133">
        <f t="shared" si="0"/>
        <v>0</v>
      </c>
      <c r="J11" s="96">
        <f t="shared" si="1"/>
        <v>0</v>
      </c>
      <c r="K11" s="96">
        <f t="shared" si="2"/>
        <v>0</v>
      </c>
    </row>
    <row r="12" spans="1:13" x14ac:dyDescent="0.25">
      <c r="A12" s="337"/>
      <c r="B12" s="131" t="s">
        <v>244</v>
      </c>
      <c r="C12" s="132" t="s">
        <v>238</v>
      </c>
      <c r="D12" s="96">
        <v>798090</v>
      </c>
      <c r="E12" s="133">
        <v>0</v>
      </c>
      <c r="F12" s="96">
        <f>'[1]Факт 2017'!G3+'[1]Факт 2017'!G8</f>
        <v>0.70199999999999996</v>
      </c>
      <c r="G12" s="96"/>
      <c r="H12" s="96"/>
      <c r="I12" s="133">
        <f>(F12+G12)/2</f>
        <v>0.35099999999999998</v>
      </c>
      <c r="J12" s="96">
        <f t="shared" si="1"/>
        <v>0</v>
      </c>
      <c r="K12" s="96">
        <f t="shared" si="2"/>
        <v>280129.58999999997</v>
      </c>
    </row>
    <row r="13" spans="1:13" x14ac:dyDescent="0.25">
      <c r="A13" s="334"/>
      <c r="B13" s="131" t="s">
        <v>245</v>
      </c>
      <c r="C13" s="132" t="s">
        <v>238</v>
      </c>
      <c r="D13" s="96">
        <v>803380</v>
      </c>
      <c r="E13" s="133">
        <v>0</v>
      </c>
      <c r="F13" s="96">
        <f>'[1]Факт 2017'!G4+'[1]Факт 2017'!G9</f>
        <v>0.47200000000000003</v>
      </c>
      <c r="G13" s="96"/>
      <c r="H13" s="96"/>
      <c r="I13" s="133">
        <f t="shared" si="0"/>
        <v>0.23600000000000002</v>
      </c>
      <c r="J13" s="96">
        <f t="shared" si="1"/>
        <v>0</v>
      </c>
      <c r="K13" s="96">
        <f t="shared" si="2"/>
        <v>189597.68000000002</v>
      </c>
    </row>
    <row r="14" spans="1:13" x14ac:dyDescent="0.25">
      <c r="A14" s="134" t="s">
        <v>55</v>
      </c>
      <c r="B14" s="135"/>
      <c r="C14" s="135"/>
      <c r="D14" s="136"/>
      <c r="E14" s="136">
        <f>SUM(E7:E13)</f>
        <v>0.2</v>
      </c>
      <c r="F14" s="136">
        <f t="shared" ref="F14:G14" si="3">SUM(F7:F13)</f>
        <v>1.5539999999999998</v>
      </c>
      <c r="G14" s="136">
        <f t="shared" si="3"/>
        <v>1.67</v>
      </c>
      <c r="H14" s="136"/>
      <c r="I14" s="136">
        <f>SUM(I7:I13)</f>
        <v>1.6119999999999999</v>
      </c>
      <c r="J14" s="136">
        <f>SUM(J7:J13)</f>
        <v>160329</v>
      </c>
      <c r="K14" s="136">
        <f>SUM(K7:K13)</f>
        <v>1240219.7699999998</v>
      </c>
    </row>
    <row r="15" spans="1:13" ht="15.75" customHeight="1" x14ac:dyDescent="0.25">
      <c r="A15" s="333" t="s">
        <v>246</v>
      </c>
      <c r="B15" s="131" t="s">
        <v>245</v>
      </c>
      <c r="C15" s="132" t="s">
        <v>238</v>
      </c>
      <c r="D15" s="96">
        <v>803380</v>
      </c>
      <c r="E15" s="133">
        <v>1</v>
      </c>
      <c r="F15" s="96"/>
      <c r="G15" s="96"/>
      <c r="H15" s="96"/>
      <c r="I15" s="133">
        <f>(F15+G15)/2</f>
        <v>0</v>
      </c>
      <c r="J15" s="96">
        <f>D15*E15</f>
        <v>803380</v>
      </c>
      <c r="K15" s="96">
        <f>D15*I15</f>
        <v>0</v>
      </c>
    </row>
    <row r="16" spans="1:13" x14ac:dyDescent="0.25">
      <c r="A16" s="337"/>
      <c r="B16" s="131" t="s">
        <v>247</v>
      </c>
      <c r="C16" s="132" t="s">
        <v>238</v>
      </c>
      <c r="D16" s="96">
        <v>1100660</v>
      </c>
      <c r="E16" s="133">
        <v>1</v>
      </c>
      <c r="F16" s="96"/>
      <c r="G16" s="96"/>
      <c r="H16" s="96"/>
      <c r="I16" s="133">
        <f t="shared" ref="I16:I19" si="4">(F16+G16)/2</f>
        <v>0</v>
      </c>
      <c r="J16" s="96">
        <f t="shared" ref="J16:J20" si="5">D16*E16</f>
        <v>1100660</v>
      </c>
      <c r="K16" s="96">
        <f t="shared" ref="K16:K20" si="6">D16*I16</f>
        <v>0</v>
      </c>
    </row>
    <row r="17" spans="1:11" x14ac:dyDescent="0.25">
      <c r="A17" s="337"/>
      <c r="B17" s="131" t="s">
        <v>248</v>
      </c>
      <c r="C17" s="132" t="s">
        <v>241</v>
      </c>
      <c r="D17" s="96">
        <v>439060</v>
      </c>
      <c r="E17" s="133">
        <v>1</v>
      </c>
      <c r="F17" s="96"/>
      <c r="G17" s="96"/>
      <c r="H17" s="96"/>
      <c r="I17" s="133">
        <f t="shared" si="4"/>
        <v>0</v>
      </c>
      <c r="J17" s="96">
        <f t="shared" si="5"/>
        <v>439060</v>
      </c>
      <c r="K17" s="96">
        <f t="shared" si="6"/>
        <v>0</v>
      </c>
    </row>
    <row r="18" spans="1:11" x14ac:dyDescent="0.25">
      <c r="A18" s="337"/>
      <c r="B18" s="131" t="s">
        <v>242</v>
      </c>
      <c r="C18" s="132" t="s">
        <v>238</v>
      </c>
      <c r="D18" s="96">
        <v>821350</v>
      </c>
      <c r="E18" s="133">
        <v>0.1</v>
      </c>
      <c r="F18" s="96"/>
      <c r="G18" s="96"/>
      <c r="H18" s="96"/>
      <c r="I18" s="133">
        <f t="shared" si="4"/>
        <v>0</v>
      </c>
      <c r="J18" s="96">
        <f t="shared" si="5"/>
        <v>82135</v>
      </c>
      <c r="K18" s="96">
        <f t="shared" si="6"/>
        <v>0</v>
      </c>
    </row>
    <row r="19" spans="1:11" x14ac:dyDescent="0.25">
      <c r="A19" s="337"/>
      <c r="B19" s="131" t="s">
        <v>249</v>
      </c>
      <c r="C19" s="132" t="s">
        <v>238</v>
      </c>
      <c r="D19" s="96">
        <v>1488950</v>
      </c>
      <c r="E19" s="133">
        <v>0.1</v>
      </c>
      <c r="F19" s="96"/>
      <c r="G19" s="96"/>
      <c r="H19" s="96"/>
      <c r="I19" s="133">
        <f t="shared" si="4"/>
        <v>0</v>
      </c>
      <c r="J19" s="96">
        <f t="shared" si="5"/>
        <v>148895</v>
      </c>
      <c r="K19" s="96">
        <f t="shared" si="6"/>
        <v>0</v>
      </c>
    </row>
    <row r="20" spans="1:11" x14ac:dyDescent="0.25">
      <c r="A20" s="334"/>
      <c r="B20" s="131" t="s">
        <v>237</v>
      </c>
      <c r="C20" s="132" t="s">
        <v>238</v>
      </c>
      <c r="D20" s="96">
        <f>D7</f>
        <v>751700</v>
      </c>
      <c r="E20" s="133"/>
      <c r="F20" s="96"/>
      <c r="G20" s="96">
        <f>'[1]Факт 2016'!E40</f>
        <v>0.40749999999999997</v>
      </c>
      <c r="H20" s="96"/>
      <c r="I20" s="133">
        <f>(F20+G20)</f>
        <v>0.40749999999999997</v>
      </c>
      <c r="J20" s="96">
        <f t="shared" si="5"/>
        <v>0</v>
      </c>
      <c r="K20" s="96">
        <f t="shared" si="6"/>
        <v>306317.75</v>
      </c>
    </row>
    <row r="21" spans="1:11" x14ac:dyDescent="0.25">
      <c r="A21" s="134" t="s">
        <v>55</v>
      </c>
      <c r="B21" s="135"/>
      <c r="C21" s="135"/>
      <c r="D21" s="137"/>
      <c r="E21" s="136">
        <f>SUM(E15:E20)</f>
        <v>3.2</v>
      </c>
      <c r="F21" s="136">
        <f t="shared" ref="F21:I21" si="7">SUM(F15:F20)</f>
        <v>0</v>
      </c>
      <c r="G21" s="136">
        <f t="shared" si="7"/>
        <v>0.40749999999999997</v>
      </c>
      <c r="H21" s="136"/>
      <c r="I21" s="136">
        <f t="shared" si="7"/>
        <v>0.40749999999999997</v>
      </c>
      <c r="J21" s="136">
        <f>SUM(J15:J20)</f>
        <v>2574130</v>
      </c>
      <c r="K21" s="136">
        <f>SUM(K15:K20)</f>
        <v>306317.75</v>
      </c>
    </row>
    <row r="22" spans="1:11" ht="15.75" customHeight="1" x14ac:dyDescent="0.25">
      <c r="A22" s="333" t="s">
        <v>250</v>
      </c>
      <c r="B22" s="131" t="s">
        <v>251</v>
      </c>
      <c r="C22" s="132" t="s">
        <v>238</v>
      </c>
      <c r="D22" s="96">
        <v>867990</v>
      </c>
      <c r="E22" s="133">
        <v>0.05</v>
      </c>
      <c r="F22" s="96"/>
      <c r="G22" s="96"/>
      <c r="H22" s="96"/>
      <c r="I22" s="133"/>
      <c r="J22" s="96">
        <f>D22*E22</f>
        <v>43399.5</v>
      </c>
      <c r="K22" s="96">
        <f>D22*I22</f>
        <v>0</v>
      </c>
    </row>
    <row r="23" spans="1:11" ht="18.75" customHeight="1" x14ac:dyDescent="0.25">
      <c r="A23" s="337"/>
      <c r="B23" s="131" t="s">
        <v>252</v>
      </c>
      <c r="C23" s="132" t="s">
        <v>238</v>
      </c>
      <c r="D23" s="96">
        <v>1907600</v>
      </c>
      <c r="E23" s="133">
        <v>0.1</v>
      </c>
      <c r="F23" s="96"/>
      <c r="G23" s="96"/>
      <c r="H23" s="96"/>
      <c r="I23" s="133"/>
      <c r="J23" s="96">
        <f t="shared" ref="J23:J27" si="8">D23*E23</f>
        <v>190760</v>
      </c>
      <c r="K23" s="96">
        <f t="shared" ref="K23:K27" si="9">D23*I23</f>
        <v>0</v>
      </c>
    </row>
    <row r="24" spans="1:11" x14ac:dyDescent="0.25">
      <c r="A24" s="337"/>
      <c r="B24" s="131" t="s">
        <v>253</v>
      </c>
      <c r="C24" s="132" t="s">
        <v>241</v>
      </c>
      <c r="D24" s="96">
        <v>471770</v>
      </c>
      <c r="E24" s="133">
        <v>1</v>
      </c>
      <c r="F24" s="96"/>
      <c r="G24" s="96"/>
      <c r="H24" s="96"/>
      <c r="I24" s="133"/>
      <c r="J24" s="96">
        <f t="shared" si="8"/>
        <v>471770</v>
      </c>
      <c r="K24" s="96">
        <f t="shared" si="9"/>
        <v>0</v>
      </c>
    </row>
    <row r="25" spans="1:11" x14ac:dyDescent="0.25">
      <c r="A25" s="337"/>
      <c r="B25" s="131" t="s">
        <v>254</v>
      </c>
      <c r="C25" s="132" t="s">
        <v>241</v>
      </c>
      <c r="D25" s="96">
        <v>0</v>
      </c>
      <c r="E25" s="133">
        <v>0</v>
      </c>
      <c r="F25" s="96"/>
      <c r="G25" s="96"/>
      <c r="H25" s="96"/>
      <c r="I25" s="133"/>
      <c r="J25" s="96">
        <f t="shared" si="8"/>
        <v>0</v>
      </c>
      <c r="K25" s="96">
        <f t="shared" si="9"/>
        <v>0</v>
      </c>
    </row>
    <row r="26" spans="1:11" x14ac:dyDescent="0.25">
      <c r="A26" s="337"/>
      <c r="B26" s="131" t="s">
        <v>255</v>
      </c>
      <c r="C26" s="132" t="s">
        <v>238</v>
      </c>
      <c r="D26" s="96">
        <v>969400</v>
      </c>
      <c r="E26" s="133">
        <v>0.1</v>
      </c>
      <c r="F26" s="96"/>
      <c r="G26" s="96"/>
      <c r="H26" s="96"/>
      <c r="I26" s="133"/>
      <c r="J26" s="96">
        <f t="shared" si="8"/>
        <v>96940</v>
      </c>
      <c r="K26" s="96">
        <f t="shared" si="9"/>
        <v>0</v>
      </c>
    </row>
    <row r="27" spans="1:11" ht="15" customHeight="1" x14ac:dyDescent="0.25">
      <c r="A27" s="334"/>
      <c r="B27" s="131" t="s">
        <v>249</v>
      </c>
      <c r="C27" s="132" t="s">
        <v>238</v>
      </c>
      <c r="D27" s="96">
        <v>1488950</v>
      </c>
      <c r="E27" s="133">
        <v>0.1</v>
      </c>
      <c r="F27" s="96"/>
      <c r="G27" s="96"/>
      <c r="H27" s="96"/>
      <c r="I27" s="133"/>
      <c r="J27" s="96">
        <f t="shared" si="8"/>
        <v>148895</v>
      </c>
      <c r="K27" s="96">
        <f t="shared" si="9"/>
        <v>0</v>
      </c>
    </row>
    <row r="28" spans="1:11" x14ac:dyDescent="0.25">
      <c r="A28" s="134" t="s">
        <v>55</v>
      </c>
      <c r="B28" s="135"/>
      <c r="C28" s="135"/>
      <c r="D28" s="137"/>
      <c r="E28" s="136">
        <f>SUM(E22:E27)</f>
        <v>1.35</v>
      </c>
      <c r="F28" s="136">
        <f t="shared" ref="F28:I28" si="10">SUM(F22:F27)</f>
        <v>0</v>
      </c>
      <c r="G28" s="136">
        <f t="shared" si="10"/>
        <v>0</v>
      </c>
      <c r="H28" s="136"/>
      <c r="I28" s="136">
        <f t="shared" si="10"/>
        <v>0</v>
      </c>
      <c r="J28" s="136">
        <f>SUM(J22:J27)</f>
        <v>951764.5</v>
      </c>
      <c r="K28" s="136">
        <f>SUM(K22:K27)</f>
        <v>0</v>
      </c>
    </row>
    <row r="29" spans="1:11" x14ac:dyDescent="0.25">
      <c r="A29" s="333" t="s">
        <v>256</v>
      </c>
      <c r="B29" s="131" t="s">
        <v>209</v>
      </c>
      <c r="C29" s="132" t="s">
        <v>238</v>
      </c>
      <c r="D29" s="96">
        <v>0</v>
      </c>
      <c r="E29" s="133">
        <v>0</v>
      </c>
      <c r="F29" s="96"/>
      <c r="G29" s="96"/>
      <c r="H29" s="96"/>
      <c r="I29" s="133"/>
      <c r="J29" s="96"/>
      <c r="K29" s="96"/>
    </row>
    <row r="30" spans="1:11" x14ac:dyDescent="0.25">
      <c r="A30" s="337"/>
      <c r="B30" s="131" t="s">
        <v>257</v>
      </c>
      <c r="C30" s="132" t="s">
        <v>238</v>
      </c>
      <c r="D30" s="96">
        <v>0</v>
      </c>
      <c r="E30" s="133">
        <v>0</v>
      </c>
      <c r="F30" s="96"/>
      <c r="G30" s="96"/>
      <c r="H30" s="96"/>
      <c r="I30" s="133"/>
      <c r="J30" s="96"/>
      <c r="K30" s="96"/>
    </row>
    <row r="31" spans="1:11" x14ac:dyDescent="0.25">
      <c r="A31" s="337"/>
      <c r="B31" s="131" t="s">
        <v>253</v>
      </c>
      <c r="C31" s="132" t="s">
        <v>241</v>
      </c>
      <c r="D31" s="96">
        <v>0</v>
      </c>
      <c r="E31" s="133">
        <v>0</v>
      </c>
      <c r="F31" s="96"/>
      <c r="G31" s="96"/>
      <c r="H31" s="96"/>
      <c r="I31" s="133"/>
      <c r="J31" s="96"/>
      <c r="K31" s="96"/>
    </row>
    <row r="32" spans="1:11" x14ac:dyDescent="0.25">
      <c r="A32" s="337"/>
      <c r="B32" s="131" t="s">
        <v>254</v>
      </c>
      <c r="C32" s="132" t="s">
        <v>241</v>
      </c>
      <c r="D32" s="96">
        <v>0</v>
      </c>
      <c r="E32" s="133">
        <v>0</v>
      </c>
      <c r="F32" s="96"/>
      <c r="G32" s="96"/>
      <c r="H32" s="96"/>
      <c r="I32" s="133"/>
      <c r="J32" s="96"/>
      <c r="K32" s="96"/>
    </row>
    <row r="33" spans="1:13" x14ac:dyDescent="0.25">
      <c r="A33" s="337"/>
      <c r="B33" s="131" t="s">
        <v>242</v>
      </c>
      <c r="C33" s="132" t="s">
        <v>238</v>
      </c>
      <c r="D33" s="96">
        <v>0</v>
      </c>
      <c r="E33" s="133">
        <v>0</v>
      </c>
      <c r="F33" s="96"/>
      <c r="G33" s="96"/>
      <c r="H33" s="96"/>
      <c r="I33" s="133"/>
      <c r="J33" s="96"/>
      <c r="K33" s="96"/>
    </row>
    <row r="34" spans="1:13" x14ac:dyDescent="0.25">
      <c r="A34" s="134" t="s">
        <v>55</v>
      </c>
      <c r="B34" s="138"/>
      <c r="C34" s="138"/>
      <c r="D34" s="136">
        <v>0</v>
      </c>
      <c r="E34" s="136">
        <f>SUM(E29:E33)</f>
        <v>0</v>
      </c>
      <c r="F34" s="136">
        <f>SUM(F29:F33)</f>
        <v>0</v>
      </c>
      <c r="G34" s="136">
        <f>SUM(G29:G33)</f>
        <v>0</v>
      </c>
      <c r="H34" s="136"/>
      <c r="I34" s="136">
        <f>G34</f>
        <v>0</v>
      </c>
      <c r="J34" s="136">
        <f>SUM(J29:J33)</f>
        <v>0</v>
      </c>
      <c r="K34" s="136">
        <f>SUM(K29:K33)</f>
        <v>0</v>
      </c>
    </row>
    <row r="35" spans="1:13" ht="15.75" customHeight="1" x14ac:dyDescent="0.25">
      <c r="A35" s="333" t="s">
        <v>258</v>
      </c>
      <c r="B35" s="131" t="s">
        <v>209</v>
      </c>
      <c r="C35" s="132" t="s">
        <v>238</v>
      </c>
      <c r="D35" s="96">
        <v>0</v>
      </c>
      <c r="E35" s="133">
        <v>0</v>
      </c>
      <c r="F35" s="96"/>
      <c r="G35" s="96"/>
      <c r="H35" s="96"/>
      <c r="I35" s="133"/>
      <c r="J35" s="96">
        <f>D35*E35</f>
        <v>0</v>
      </c>
      <c r="K35" s="96">
        <f>D35*I35</f>
        <v>0</v>
      </c>
    </row>
    <row r="36" spans="1:13" x14ac:dyDescent="0.25">
      <c r="A36" s="337"/>
      <c r="B36" s="131" t="s">
        <v>257</v>
      </c>
      <c r="C36" s="132" t="s">
        <v>238</v>
      </c>
      <c r="D36" s="96">
        <v>0</v>
      </c>
      <c r="E36" s="133">
        <v>0</v>
      </c>
      <c r="F36" s="96"/>
      <c r="G36" s="96"/>
      <c r="H36" s="96"/>
      <c r="I36" s="133"/>
      <c r="J36" s="96">
        <f t="shared" ref="J36:J41" si="11">D36*E36</f>
        <v>0</v>
      </c>
      <c r="K36" s="96">
        <f t="shared" ref="K36:K40" si="12">D36*I36</f>
        <v>0</v>
      </c>
      <c r="M36" s="139"/>
    </row>
    <row r="37" spans="1:13" x14ac:dyDescent="0.25">
      <c r="A37" s="337"/>
      <c r="B37" s="131" t="s">
        <v>253</v>
      </c>
      <c r="C37" s="132" t="s">
        <v>241</v>
      </c>
      <c r="D37" s="96">
        <v>0</v>
      </c>
      <c r="E37" s="133">
        <v>0</v>
      </c>
      <c r="F37" s="96"/>
      <c r="G37" s="96"/>
      <c r="H37" s="96"/>
      <c r="I37" s="133"/>
      <c r="J37" s="96">
        <f t="shared" si="11"/>
        <v>0</v>
      </c>
      <c r="K37" s="96">
        <f t="shared" si="12"/>
        <v>0</v>
      </c>
    </row>
    <row r="38" spans="1:13" x14ac:dyDescent="0.25">
      <c r="A38" s="337"/>
      <c r="B38" s="131" t="s">
        <v>254</v>
      </c>
      <c r="C38" s="132" t="s">
        <v>241</v>
      </c>
      <c r="D38" s="96">
        <v>0</v>
      </c>
      <c r="E38" s="133">
        <v>0</v>
      </c>
      <c r="F38" s="96"/>
      <c r="G38" s="96"/>
      <c r="H38" s="96"/>
      <c r="I38" s="133"/>
      <c r="J38" s="96">
        <f t="shared" si="11"/>
        <v>0</v>
      </c>
      <c r="K38" s="96">
        <f t="shared" si="12"/>
        <v>0</v>
      </c>
    </row>
    <row r="39" spans="1:13" x14ac:dyDescent="0.25">
      <c r="A39" s="337"/>
      <c r="B39" s="131" t="s">
        <v>255</v>
      </c>
      <c r="C39" s="132" t="s">
        <v>238</v>
      </c>
      <c r="D39" s="96">
        <v>969400</v>
      </c>
      <c r="E39" s="133">
        <v>0.1</v>
      </c>
      <c r="F39" s="96"/>
      <c r="G39" s="96"/>
      <c r="H39" s="96"/>
      <c r="I39" s="133"/>
      <c r="J39" s="96">
        <f t="shared" si="11"/>
        <v>96940</v>
      </c>
      <c r="K39" s="96">
        <f t="shared" si="12"/>
        <v>0</v>
      </c>
    </row>
    <row r="40" spans="1:13" x14ac:dyDescent="0.25">
      <c r="A40" s="337"/>
      <c r="B40" s="131" t="s">
        <v>249</v>
      </c>
      <c r="C40" s="132" t="s">
        <v>238</v>
      </c>
      <c r="D40" s="96">
        <v>1488950</v>
      </c>
      <c r="E40" s="133">
        <v>0.1</v>
      </c>
      <c r="F40" s="96"/>
      <c r="G40" s="96"/>
      <c r="H40" s="96"/>
      <c r="I40" s="133"/>
      <c r="J40" s="96">
        <f t="shared" si="11"/>
        <v>148895</v>
      </c>
      <c r="K40" s="96">
        <f t="shared" si="12"/>
        <v>0</v>
      </c>
    </row>
    <row r="41" spans="1:13" ht="31.5" x14ac:dyDescent="0.25">
      <c r="A41" s="334"/>
      <c r="B41" s="131" t="s">
        <v>259</v>
      </c>
      <c r="C41" s="132" t="s">
        <v>238</v>
      </c>
      <c r="D41" s="96">
        <v>8213540</v>
      </c>
      <c r="E41" s="133"/>
      <c r="F41" s="96"/>
      <c r="G41" s="96">
        <f>'[1]Факт 2016'!E42</f>
        <v>0.08</v>
      </c>
      <c r="H41" s="96"/>
      <c r="I41" s="133">
        <f>G41</f>
        <v>0.08</v>
      </c>
      <c r="J41" s="96">
        <f t="shared" si="11"/>
        <v>0</v>
      </c>
      <c r="K41" s="96">
        <f>D41*I41</f>
        <v>657083.20000000007</v>
      </c>
    </row>
    <row r="42" spans="1:13" x14ac:dyDescent="0.25">
      <c r="A42" s="134" t="s">
        <v>55</v>
      </c>
      <c r="B42" s="138"/>
      <c r="C42" s="138"/>
      <c r="D42" s="136"/>
      <c r="E42" s="136">
        <f>SUM(E35:E41)</f>
        <v>0.2</v>
      </c>
      <c r="F42" s="136">
        <f t="shared" ref="F42:G42" si="13">SUM(F35:F41)</f>
        <v>0</v>
      </c>
      <c r="G42" s="136">
        <f t="shared" si="13"/>
        <v>0.08</v>
      </c>
      <c r="H42" s="136"/>
      <c r="I42" s="136">
        <f>G42</f>
        <v>0.08</v>
      </c>
      <c r="J42" s="136">
        <f>SUM(J35:J41)</f>
        <v>245835</v>
      </c>
      <c r="K42" s="136">
        <f>SUM(K35:K41)</f>
        <v>657083.20000000007</v>
      </c>
    </row>
    <row r="43" spans="1:13" x14ac:dyDescent="0.25">
      <c r="A43" s="333" t="s">
        <v>260</v>
      </c>
      <c r="B43" s="131" t="s">
        <v>209</v>
      </c>
      <c r="C43" s="132" t="s">
        <v>238</v>
      </c>
      <c r="D43" s="96">
        <v>0</v>
      </c>
      <c r="E43" s="133">
        <v>0</v>
      </c>
      <c r="F43" s="96"/>
      <c r="G43" s="96"/>
      <c r="H43" s="96"/>
      <c r="I43" s="133"/>
      <c r="J43" s="96">
        <f>D43*E43</f>
        <v>0</v>
      </c>
      <c r="K43" s="96">
        <f>D43*I43</f>
        <v>0</v>
      </c>
    </row>
    <row r="44" spans="1:13" x14ac:dyDescent="0.25">
      <c r="A44" s="337"/>
      <c r="B44" s="131" t="s">
        <v>257</v>
      </c>
      <c r="C44" s="132" t="s">
        <v>238</v>
      </c>
      <c r="D44" s="96">
        <v>0</v>
      </c>
      <c r="E44" s="133">
        <v>0</v>
      </c>
      <c r="F44" s="96"/>
      <c r="G44" s="96"/>
      <c r="H44" s="96"/>
      <c r="I44" s="133"/>
      <c r="J44" s="96">
        <f t="shared" ref="J44:J47" si="14">D44*E44</f>
        <v>0</v>
      </c>
      <c r="K44" s="96">
        <f t="shared" ref="K44:K47" si="15">D44*I44</f>
        <v>0</v>
      </c>
    </row>
    <row r="45" spans="1:13" x14ac:dyDescent="0.25">
      <c r="A45" s="337"/>
      <c r="B45" s="131" t="s">
        <v>253</v>
      </c>
      <c r="C45" s="132" t="s">
        <v>241</v>
      </c>
      <c r="D45" s="96">
        <v>0</v>
      </c>
      <c r="E45" s="133">
        <v>0</v>
      </c>
      <c r="F45" s="96"/>
      <c r="G45" s="96"/>
      <c r="H45" s="96"/>
      <c r="I45" s="133"/>
      <c r="J45" s="96">
        <f t="shared" si="14"/>
        <v>0</v>
      </c>
      <c r="K45" s="96">
        <f t="shared" si="15"/>
        <v>0</v>
      </c>
    </row>
    <row r="46" spans="1:13" x14ac:dyDescent="0.25">
      <c r="A46" s="337"/>
      <c r="B46" s="131" t="s">
        <v>255</v>
      </c>
      <c r="C46" s="132" t="s">
        <v>238</v>
      </c>
      <c r="D46" s="96">
        <v>969400</v>
      </c>
      <c r="E46" s="133">
        <v>0.1</v>
      </c>
      <c r="F46" s="96"/>
      <c r="G46" s="96"/>
      <c r="H46" s="96"/>
      <c r="I46" s="133"/>
      <c r="J46" s="96">
        <f t="shared" si="14"/>
        <v>96940</v>
      </c>
      <c r="K46" s="96">
        <f t="shared" si="15"/>
        <v>0</v>
      </c>
    </row>
    <row r="47" spans="1:13" x14ac:dyDescent="0.25">
      <c r="A47" s="334"/>
      <c r="B47" s="131" t="s">
        <v>261</v>
      </c>
      <c r="C47" s="132" t="s">
        <v>238</v>
      </c>
      <c r="D47" s="96">
        <v>1634540</v>
      </c>
      <c r="E47" s="133">
        <v>0.1</v>
      </c>
      <c r="F47" s="96"/>
      <c r="G47" s="96"/>
      <c r="H47" s="96"/>
      <c r="I47" s="133"/>
      <c r="J47" s="96">
        <f t="shared" si="14"/>
        <v>163454</v>
      </c>
      <c r="K47" s="96">
        <f t="shared" si="15"/>
        <v>0</v>
      </c>
    </row>
    <row r="48" spans="1:13" x14ac:dyDescent="0.25">
      <c r="A48" s="134" t="s">
        <v>55</v>
      </c>
      <c r="B48" s="138"/>
      <c r="C48" s="138"/>
      <c r="D48" s="136"/>
      <c r="E48" s="136">
        <f>SUM(E43:E47)</f>
        <v>0.2</v>
      </c>
      <c r="F48" s="136">
        <f t="shared" ref="F48:I48" si="16">SUM(F43:F47)</f>
        <v>0</v>
      </c>
      <c r="G48" s="136">
        <f t="shared" si="16"/>
        <v>0</v>
      </c>
      <c r="H48" s="136"/>
      <c r="I48" s="136">
        <f t="shared" si="16"/>
        <v>0</v>
      </c>
      <c r="J48" s="136">
        <f>SUM(J43:J47)</f>
        <v>260394</v>
      </c>
      <c r="K48" s="136">
        <f>SUM(K43:K47)</f>
        <v>0</v>
      </c>
    </row>
    <row r="49" spans="1:11" x14ac:dyDescent="0.25">
      <c r="A49" s="134" t="s">
        <v>262</v>
      </c>
      <c r="B49" s="138"/>
      <c r="C49" s="138"/>
      <c r="D49" s="136"/>
      <c r="E49" s="136">
        <f>E14+E21+E28+E34+E42+E48</f>
        <v>5.15</v>
      </c>
      <c r="F49" s="136">
        <f>F14+F21+F28+F34+F42+F48</f>
        <v>1.5539999999999998</v>
      </c>
      <c r="G49" s="136">
        <f>G14+G21+G28+G34+G42+G48</f>
        <v>2.1574999999999998</v>
      </c>
      <c r="H49" s="136"/>
      <c r="I49" s="136">
        <f>I14+I21+I28+I34+I42+I48</f>
        <v>2.0994999999999999</v>
      </c>
      <c r="J49" s="136">
        <f>J14+J21+J28+J34+J42+J48</f>
        <v>4192452.5</v>
      </c>
      <c r="K49" s="136">
        <f>K14+K21+K28+K34+K42</f>
        <v>2203620.7199999997</v>
      </c>
    </row>
    <row r="50" spans="1:11" x14ac:dyDescent="0.25">
      <c r="I50" s="103"/>
    </row>
    <row r="51" spans="1:11" ht="36" customHeight="1" x14ac:dyDescent="0.25">
      <c r="A51" s="335" t="s">
        <v>263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</row>
    <row r="52" spans="1:11" ht="143.25" hidden="1" customHeight="1" outlineLevel="1" x14ac:dyDescent="0.25">
      <c r="A52" s="336" t="s">
        <v>264</v>
      </c>
      <c r="B52" s="336"/>
      <c r="C52" s="336"/>
      <c r="D52" s="336"/>
      <c r="E52" s="336"/>
    </row>
    <row r="53" spans="1:11" ht="33.75" customHeight="1" collapsed="1" x14ac:dyDescent="0.25">
      <c r="A53" s="140"/>
      <c r="B53" s="140"/>
      <c r="C53" s="140"/>
      <c r="D53" s="140"/>
      <c r="E53" s="140"/>
      <c r="F53" s="141"/>
      <c r="G53" s="141"/>
      <c r="H53" s="141"/>
    </row>
    <row r="54" spans="1:11" ht="36.75" customHeight="1" x14ac:dyDescent="0.25">
      <c r="A54" s="142"/>
      <c r="B54" s="142"/>
      <c r="C54" s="142"/>
      <c r="D54" s="142"/>
      <c r="E54" s="142"/>
    </row>
    <row r="56" spans="1:11" x14ac:dyDescent="0.25">
      <c r="E56" s="128"/>
    </row>
  </sheetData>
  <mergeCells count="14">
    <mergeCell ref="A51:K51"/>
    <mergeCell ref="A52:E52"/>
    <mergeCell ref="A7:A13"/>
    <mergeCell ref="A15:A20"/>
    <mergeCell ref="A22:A27"/>
    <mergeCell ref="A29:A33"/>
    <mergeCell ref="A35:A41"/>
    <mergeCell ref="A43:A47"/>
    <mergeCell ref="A2:K2"/>
    <mergeCell ref="A4:A5"/>
    <mergeCell ref="B4:B5"/>
    <mergeCell ref="C4:C5"/>
    <mergeCell ref="E4:I4"/>
    <mergeCell ref="J4:K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45"/>
  <sheetViews>
    <sheetView view="pageBreakPreview" zoomScale="60" zoomScaleNormal="73" workbookViewId="0">
      <selection activeCell="D6" sqref="D6"/>
    </sheetView>
  </sheetViews>
  <sheetFormatPr defaultColWidth="18.7109375" defaultRowHeight="34.5" customHeight="1" outlineLevelCol="1" x14ac:dyDescent="0.25"/>
  <cols>
    <col min="1" max="1" width="18.7109375" style="87"/>
    <col min="2" max="2" width="18.7109375" style="87" outlineLevel="1"/>
    <col min="3" max="3" width="25.85546875" style="87" customWidth="1"/>
    <col min="4" max="4" width="20.140625" style="87" customWidth="1"/>
    <col min="5" max="5" width="23.28515625" style="87" customWidth="1"/>
    <col min="6" max="6" width="18.7109375" style="87"/>
    <col min="7" max="12" width="18.7109375" style="172"/>
    <col min="13" max="16384" width="18.7109375" style="87"/>
  </cols>
  <sheetData>
    <row r="2" spans="1:12" ht="85.5" customHeight="1" x14ac:dyDescent="0.25">
      <c r="A2" s="257" t="s">
        <v>202</v>
      </c>
      <c r="B2" s="257" t="s">
        <v>290</v>
      </c>
      <c r="C2" s="257" t="s">
        <v>291</v>
      </c>
      <c r="D2" s="257" t="s">
        <v>292</v>
      </c>
      <c r="E2" s="257" t="s">
        <v>6</v>
      </c>
      <c r="F2" s="257" t="s">
        <v>7</v>
      </c>
      <c r="J2" s="87"/>
      <c r="K2" s="87"/>
      <c r="L2" s="87"/>
    </row>
    <row r="3" spans="1:12" ht="23.25" customHeight="1" x14ac:dyDescent="0.25">
      <c r="A3" s="341" t="s">
        <v>1</v>
      </c>
      <c r="B3" s="341"/>
      <c r="C3" s="341"/>
      <c r="D3" s="341"/>
      <c r="E3" s="341"/>
      <c r="F3" s="341"/>
      <c r="J3" s="87"/>
      <c r="K3" s="87"/>
      <c r="L3" s="87"/>
    </row>
    <row r="4" spans="1:12" ht="42" customHeight="1" x14ac:dyDescent="0.25">
      <c r="A4" s="257">
        <v>31</v>
      </c>
      <c r="B4" s="257">
        <v>2016</v>
      </c>
      <c r="C4" s="258" t="s">
        <v>293</v>
      </c>
      <c r="D4" s="257">
        <v>0.08</v>
      </c>
      <c r="E4" s="259">
        <v>798.09</v>
      </c>
      <c r="F4" s="259">
        <f t="shared" ref="F4:F23" si="0">D4*E4</f>
        <v>63.847200000000001</v>
      </c>
      <c r="H4" s="192"/>
      <c r="J4" s="87"/>
      <c r="K4" s="87"/>
      <c r="L4" s="87"/>
    </row>
    <row r="5" spans="1:12" ht="34.5" customHeight="1" x14ac:dyDescent="0.25">
      <c r="A5" s="257">
        <v>112</v>
      </c>
      <c r="B5" s="257">
        <v>2016</v>
      </c>
      <c r="C5" s="258" t="s">
        <v>294</v>
      </c>
      <c r="D5" s="257">
        <v>0.14000000000000001</v>
      </c>
      <c r="E5" s="259">
        <v>798.09</v>
      </c>
      <c r="F5" s="259">
        <f t="shared" si="0"/>
        <v>111.73260000000002</v>
      </c>
      <c r="J5" s="87"/>
      <c r="K5" s="87"/>
      <c r="L5" s="87"/>
    </row>
    <row r="6" spans="1:12" ht="34.5" customHeight="1" x14ac:dyDescent="0.25">
      <c r="A6" s="257">
        <v>121</v>
      </c>
      <c r="B6" s="257">
        <v>2016</v>
      </c>
      <c r="C6" s="258" t="s">
        <v>295</v>
      </c>
      <c r="D6" s="257">
        <v>0.2</v>
      </c>
      <c r="E6" s="259">
        <v>798.09</v>
      </c>
      <c r="F6" s="259">
        <f t="shared" si="0"/>
        <v>159.61800000000002</v>
      </c>
      <c r="I6" s="174"/>
      <c r="J6" s="87"/>
      <c r="K6" s="87"/>
      <c r="L6" s="87"/>
    </row>
    <row r="7" spans="1:12" ht="34.5" customHeight="1" x14ac:dyDescent="0.25">
      <c r="A7" s="257">
        <v>129</v>
      </c>
      <c r="B7" s="257">
        <v>2016</v>
      </c>
      <c r="C7" s="258" t="s">
        <v>296</v>
      </c>
      <c r="D7" s="257">
        <v>0.1</v>
      </c>
      <c r="E7" s="259">
        <v>751.7</v>
      </c>
      <c r="F7" s="259">
        <f t="shared" si="0"/>
        <v>75.17</v>
      </c>
      <c r="H7" s="172">
        <f>(0.08+0.14+0.2+0.349+0.353+0.158)*798.09+(0.1+0.12+0.1+0.06+0.09+0.2+0.06+0.043+0.235)*751.7+0.275*803.38</f>
        <v>2000.1982999999998</v>
      </c>
      <c r="J7" s="87"/>
      <c r="K7" s="87"/>
      <c r="L7" s="87"/>
    </row>
    <row r="8" spans="1:12" ht="34.5" customHeight="1" x14ac:dyDescent="0.25">
      <c r="A8" s="260">
        <v>130</v>
      </c>
      <c r="B8" s="260">
        <v>2016</v>
      </c>
      <c r="C8" s="261" t="s">
        <v>297</v>
      </c>
      <c r="D8" s="260">
        <v>0.78</v>
      </c>
      <c r="E8" s="259">
        <v>361.76880999999997</v>
      </c>
      <c r="F8" s="259">
        <f t="shared" si="0"/>
        <v>282.17967179999999</v>
      </c>
      <c r="G8" s="172" t="s">
        <v>337</v>
      </c>
      <c r="H8" s="172">
        <f>(0.08+0.14+0.2+0.349+0.353+0.158)+(0.1+0.12+0.1+0.06+0.09+0.2+0.06+0.043+0.235)+0.275</f>
        <v>2.5629999999999997</v>
      </c>
      <c r="J8" s="87"/>
      <c r="K8" s="87"/>
      <c r="L8" s="87"/>
    </row>
    <row r="9" spans="1:12" ht="34.5" customHeight="1" x14ac:dyDescent="0.25">
      <c r="A9" s="257">
        <v>147</v>
      </c>
      <c r="B9" s="257">
        <v>2016</v>
      </c>
      <c r="C9" s="258" t="s">
        <v>298</v>
      </c>
      <c r="D9" s="257">
        <v>0.12</v>
      </c>
      <c r="E9" s="259">
        <v>751.7</v>
      </c>
      <c r="F9" s="259">
        <f t="shared" si="0"/>
        <v>90.204000000000008</v>
      </c>
      <c r="J9" s="87"/>
      <c r="K9" s="87"/>
      <c r="L9" s="87"/>
    </row>
    <row r="10" spans="1:12" ht="34.5" customHeight="1" x14ac:dyDescent="0.25">
      <c r="A10" s="257">
        <v>149</v>
      </c>
      <c r="B10" s="257">
        <v>2016</v>
      </c>
      <c r="C10" s="258" t="s">
        <v>299</v>
      </c>
      <c r="D10" s="257">
        <v>0.1</v>
      </c>
      <c r="E10" s="259">
        <v>751.7</v>
      </c>
      <c r="F10" s="259">
        <f t="shared" si="0"/>
        <v>75.17</v>
      </c>
      <c r="J10" s="87"/>
      <c r="K10" s="87"/>
      <c r="L10" s="87"/>
    </row>
    <row r="11" spans="1:12" ht="34.5" customHeight="1" x14ac:dyDescent="0.25">
      <c r="A11" s="257">
        <v>6</v>
      </c>
      <c r="B11" s="257">
        <v>2017</v>
      </c>
      <c r="C11" s="258" t="s">
        <v>300</v>
      </c>
      <c r="D11" s="257">
        <v>0.06</v>
      </c>
      <c r="E11" s="259">
        <f>E17</f>
        <v>751.7</v>
      </c>
      <c r="F11" s="259">
        <f t="shared" si="0"/>
        <v>45.102000000000004</v>
      </c>
      <c r="J11" s="87"/>
      <c r="K11" s="87"/>
      <c r="L11" s="87"/>
    </row>
    <row r="12" spans="1:12" s="103" customFormat="1" ht="34.5" customHeight="1" x14ac:dyDescent="0.25">
      <c r="A12" s="262">
        <v>19</v>
      </c>
      <c r="B12" s="262">
        <v>2017</v>
      </c>
      <c r="C12" s="263" t="s">
        <v>301</v>
      </c>
      <c r="D12" s="262">
        <v>0.28499999999999998</v>
      </c>
      <c r="E12" s="264">
        <v>798.09</v>
      </c>
      <c r="F12" s="264">
        <f t="shared" si="0"/>
        <v>227.45564999999999</v>
      </c>
      <c r="G12" s="192">
        <v>0.34899999999999998</v>
      </c>
      <c r="H12" s="192" t="s">
        <v>334</v>
      </c>
      <c r="I12" s="192"/>
    </row>
    <row r="13" spans="1:12" s="103" customFormat="1" ht="34.5" customHeight="1" x14ac:dyDescent="0.25">
      <c r="A13" s="262">
        <v>26</v>
      </c>
      <c r="B13" s="262">
        <v>2017</v>
      </c>
      <c r="C13" s="263" t="s">
        <v>302</v>
      </c>
      <c r="D13" s="262">
        <v>0.28299999999999997</v>
      </c>
      <c r="E13" s="264">
        <f t="shared" ref="E13" si="1">E12</f>
        <v>798.09</v>
      </c>
      <c r="F13" s="264">
        <f t="shared" si="0"/>
        <v>225.85946999999999</v>
      </c>
      <c r="G13" s="192">
        <v>0.35299999999999998</v>
      </c>
      <c r="H13" s="192" t="s">
        <v>333</v>
      </c>
      <c r="I13" s="192"/>
    </row>
    <row r="14" spans="1:12" s="103" customFormat="1" ht="34.5" customHeight="1" x14ac:dyDescent="0.25">
      <c r="A14" s="262">
        <v>27</v>
      </c>
      <c r="B14" s="262">
        <v>2017</v>
      </c>
      <c r="C14" s="263" t="s">
        <v>303</v>
      </c>
      <c r="D14" s="262">
        <v>8.5000000000000006E-2</v>
      </c>
      <c r="E14" s="264">
        <f>E11</f>
        <v>751.7</v>
      </c>
      <c r="F14" s="264">
        <f t="shared" si="0"/>
        <v>63.894500000000008</v>
      </c>
      <c r="G14" s="192" t="s">
        <v>328</v>
      </c>
      <c r="H14" s="192"/>
      <c r="I14" s="192"/>
    </row>
    <row r="15" spans="1:12" s="103" customFormat="1" ht="34.5" customHeight="1" x14ac:dyDescent="0.25">
      <c r="A15" s="262">
        <v>32</v>
      </c>
      <c r="B15" s="262">
        <v>2017</v>
      </c>
      <c r="C15" s="263" t="s">
        <v>304</v>
      </c>
      <c r="D15" s="262">
        <v>5.0999999999999997E-2</v>
      </c>
      <c r="E15" s="264">
        <f>E14</f>
        <v>751.7</v>
      </c>
      <c r="F15" s="264">
        <f t="shared" si="0"/>
        <v>38.3367</v>
      </c>
      <c r="G15" s="192" t="s">
        <v>328</v>
      </c>
      <c r="H15" s="192"/>
      <c r="I15" s="192"/>
    </row>
    <row r="16" spans="1:12" s="103" customFormat="1" ht="34.5" customHeight="1" x14ac:dyDescent="0.25">
      <c r="A16" s="262">
        <v>34</v>
      </c>
      <c r="B16" s="262">
        <v>2017</v>
      </c>
      <c r="C16" s="263" t="s">
        <v>305</v>
      </c>
      <c r="D16" s="262">
        <v>0.06</v>
      </c>
      <c r="E16" s="264">
        <v>848.46</v>
      </c>
      <c r="F16" s="264">
        <f t="shared" si="0"/>
        <v>50.907600000000002</v>
      </c>
      <c r="G16" s="192" t="s">
        <v>269</v>
      </c>
      <c r="H16" s="192"/>
      <c r="I16" s="192"/>
    </row>
    <row r="17" spans="1:12" s="103" customFormat="1" ht="34.5" customHeight="1" x14ac:dyDescent="0.25">
      <c r="A17" s="262">
        <v>35</v>
      </c>
      <c r="B17" s="262">
        <v>2017</v>
      </c>
      <c r="C17" s="263" t="s">
        <v>306</v>
      </c>
      <c r="D17" s="262">
        <v>0.09</v>
      </c>
      <c r="E17" s="264">
        <v>751.7</v>
      </c>
      <c r="F17" s="264">
        <f t="shared" si="0"/>
        <v>67.653000000000006</v>
      </c>
      <c r="G17" s="192"/>
      <c r="H17" s="192"/>
      <c r="I17" s="192"/>
    </row>
    <row r="18" spans="1:12" s="103" customFormat="1" ht="34.5" customHeight="1" x14ac:dyDescent="0.25">
      <c r="A18" s="262">
        <v>42</v>
      </c>
      <c r="B18" s="262">
        <v>2017</v>
      </c>
      <c r="C18" s="263" t="s">
        <v>307</v>
      </c>
      <c r="D18" s="262">
        <v>0.2</v>
      </c>
      <c r="E18" s="264">
        <f>E17</f>
        <v>751.7</v>
      </c>
      <c r="F18" s="264">
        <f t="shared" si="0"/>
        <v>150.34</v>
      </c>
      <c r="G18" s="192"/>
      <c r="H18" s="192"/>
    </row>
    <row r="19" spans="1:12" s="103" customFormat="1" ht="34.5" customHeight="1" x14ac:dyDescent="0.25">
      <c r="A19" s="262">
        <v>46</v>
      </c>
      <c r="B19" s="262">
        <v>2017</v>
      </c>
      <c r="C19" s="263" t="s">
        <v>308</v>
      </c>
      <c r="D19" s="262">
        <v>0.06</v>
      </c>
      <c r="E19" s="264">
        <f>E18</f>
        <v>751.7</v>
      </c>
      <c r="F19" s="264">
        <f t="shared" si="0"/>
        <v>45.102000000000004</v>
      </c>
      <c r="G19" s="192"/>
      <c r="H19" s="192"/>
    </row>
    <row r="20" spans="1:12" s="103" customFormat="1" ht="34.5" customHeight="1" x14ac:dyDescent="0.25">
      <c r="A20" s="262">
        <v>57</v>
      </c>
      <c r="B20" s="262">
        <v>2017</v>
      </c>
      <c r="C20" s="263" t="s">
        <v>309</v>
      </c>
      <c r="D20" s="262">
        <v>4.2999999999999997E-2</v>
      </c>
      <c r="E20" s="264">
        <f>E19</f>
        <v>751.7</v>
      </c>
      <c r="F20" s="264">
        <f t="shared" si="0"/>
        <v>32.323099999999997</v>
      </c>
      <c r="G20" s="192"/>
      <c r="H20" s="192"/>
    </row>
    <row r="21" spans="1:12" s="103" customFormat="1" ht="34.5" customHeight="1" x14ac:dyDescent="0.25">
      <c r="A21" s="262">
        <v>61</v>
      </c>
      <c r="B21" s="262">
        <v>2017</v>
      </c>
      <c r="C21" s="263" t="s">
        <v>310</v>
      </c>
      <c r="D21" s="262">
        <v>0.27500000000000002</v>
      </c>
      <c r="E21" s="264">
        <v>803.38</v>
      </c>
      <c r="F21" s="264">
        <f t="shared" si="0"/>
        <v>220.92950000000002</v>
      </c>
      <c r="G21" s="192"/>
      <c r="H21" s="192"/>
    </row>
    <row r="22" spans="1:12" s="103" customFormat="1" ht="34.5" customHeight="1" x14ac:dyDescent="0.25">
      <c r="A22" s="262">
        <v>92</v>
      </c>
      <c r="B22" s="262">
        <v>2017</v>
      </c>
      <c r="C22" s="263" t="s">
        <v>311</v>
      </c>
      <c r="D22" s="262">
        <v>0.23499999999999999</v>
      </c>
      <c r="E22" s="264">
        <f>E20</f>
        <v>751.7</v>
      </c>
      <c r="F22" s="264">
        <f t="shared" si="0"/>
        <v>176.64949999999999</v>
      </c>
      <c r="G22" s="192"/>
      <c r="H22" s="255">
        <f>SUM(F4:F23)*1000-[2]Проверено!$K$76</f>
        <v>308032.88060000003</v>
      </c>
    </row>
    <row r="23" spans="1:12" s="103" customFormat="1" ht="34.5" customHeight="1" x14ac:dyDescent="0.25">
      <c r="A23" s="262">
        <v>109</v>
      </c>
      <c r="B23" s="262">
        <v>2017</v>
      </c>
      <c r="C23" s="263" t="s">
        <v>312</v>
      </c>
      <c r="D23" s="262">
        <v>0.158</v>
      </c>
      <c r="E23" s="264">
        <f>E12</f>
        <v>798.09</v>
      </c>
      <c r="F23" s="264">
        <f t="shared" si="0"/>
        <v>126.09822000000001</v>
      </c>
      <c r="G23" s="192"/>
      <c r="H23" s="175"/>
    </row>
    <row r="24" spans="1:12" s="103" customFormat="1" ht="48.75" customHeight="1" x14ac:dyDescent="0.25">
      <c r="A24" s="262"/>
      <c r="B24" s="262"/>
      <c r="C24" s="265" t="s">
        <v>338</v>
      </c>
      <c r="D24" s="262">
        <f xml:space="preserve"> SUM(D4:D23)-D8-D16</f>
        <v>2.5649999999999999</v>
      </c>
      <c r="E24" s="264"/>
      <c r="F24" s="264">
        <f xml:space="preserve"> SUM(F4:F23)-F8-F16</f>
        <v>1995.4854399999999</v>
      </c>
      <c r="G24" s="256" t="e">
        <f>F24-'П1 0,4 кВт льготн'!E15</f>
        <v>#REF!</v>
      </c>
      <c r="H24" s="175"/>
    </row>
    <row r="25" spans="1:12" s="193" customFormat="1" ht="34.5" customHeight="1" x14ac:dyDescent="0.25">
      <c r="A25" s="266"/>
      <c r="B25" s="266"/>
      <c r="C25" s="267" t="s">
        <v>339</v>
      </c>
      <c r="D25" s="268">
        <f>SUM(D4:D23)</f>
        <v>3.4050000000000002</v>
      </c>
      <c r="E25" s="269"/>
      <c r="F25" s="269">
        <f>SUM(F4:F23)</f>
        <v>2328.5727118</v>
      </c>
      <c r="G25" s="194" t="e">
        <f>F25-#REF!/1000</f>
        <v>#REF!</v>
      </c>
      <c r="H25" s="195"/>
    </row>
    <row r="26" spans="1:12" ht="34.5" customHeight="1" x14ac:dyDescent="0.25">
      <c r="A26" s="339" t="s">
        <v>313</v>
      </c>
      <c r="B26" s="339"/>
      <c r="C26" s="339"/>
      <c r="D26" s="339"/>
      <c r="E26" s="223"/>
      <c r="F26" s="223"/>
      <c r="I26" s="87"/>
      <c r="J26" s="87"/>
      <c r="K26" s="87"/>
      <c r="L26" s="87"/>
    </row>
    <row r="27" spans="1:12" ht="34.5" customHeight="1" x14ac:dyDescent="0.25">
      <c r="A27" s="183">
        <v>49</v>
      </c>
      <c r="B27" s="176"/>
      <c r="C27" s="177" t="s">
        <v>314</v>
      </c>
      <c r="D27" s="177">
        <v>0.35</v>
      </c>
      <c r="E27" s="172"/>
      <c r="F27" s="172"/>
      <c r="G27" s="172" t="s">
        <v>342</v>
      </c>
      <c r="I27" s="87"/>
      <c r="J27" s="87"/>
      <c r="K27" s="87"/>
      <c r="L27" s="87"/>
    </row>
    <row r="28" spans="1:12" ht="34.5" customHeight="1" x14ac:dyDescent="0.25">
      <c r="A28" s="183">
        <v>59</v>
      </c>
      <c r="B28" s="176"/>
      <c r="C28" s="177" t="s">
        <v>315</v>
      </c>
      <c r="D28" s="177">
        <v>0.1</v>
      </c>
      <c r="E28" s="172"/>
      <c r="F28" s="172"/>
      <c r="I28" s="87"/>
      <c r="J28" s="87"/>
      <c r="K28" s="87"/>
      <c r="L28" s="87"/>
    </row>
    <row r="29" spans="1:12" s="188" customFormat="1" ht="34.5" customHeight="1" x14ac:dyDescent="0.25">
      <c r="A29" s="185">
        <v>102</v>
      </c>
      <c r="B29" s="186"/>
      <c r="C29" s="186" t="s">
        <v>316</v>
      </c>
      <c r="D29" s="186">
        <v>0.64</v>
      </c>
      <c r="E29" s="187"/>
      <c r="F29" s="187"/>
      <c r="G29" s="187"/>
      <c r="H29" s="187"/>
    </row>
    <row r="30" spans="1:12" ht="34.5" customHeight="1" x14ac:dyDescent="0.25">
      <c r="A30" s="132">
        <v>108</v>
      </c>
      <c r="B30" s="177"/>
      <c r="C30" s="177" t="s">
        <v>317</v>
      </c>
      <c r="D30" s="177">
        <v>0</v>
      </c>
      <c r="E30" s="172"/>
      <c r="F30" s="172"/>
      <c r="G30" s="191">
        <v>8.5000000000000006E-2</v>
      </c>
      <c r="H30" s="172" t="s">
        <v>335</v>
      </c>
      <c r="I30" s="87"/>
      <c r="J30" s="87"/>
      <c r="K30" s="87"/>
      <c r="L30" s="87"/>
    </row>
    <row r="31" spans="1:12" ht="34.5" customHeight="1" x14ac:dyDescent="0.25">
      <c r="A31" s="132">
        <v>109</v>
      </c>
      <c r="B31" s="177"/>
      <c r="C31" s="177" t="s">
        <v>318</v>
      </c>
      <c r="D31" s="177">
        <v>0</v>
      </c>
      <c r="E31" s="172"/>
      <c r="F31" s="172"/>
      <c r="G31" s="191">
        <v>0.06</v>
      </c>
      <c r="H31" s="172" t="s">
        <v>336</v>
      </c>
      <c r="I31" s="87"/>
      <c r="J31" s="87"/>
      <c r="K31" s="87"/>
      <c r="L31" s="87"/>
    </row>
    <row r="32" spans="1:12" s="188" customFormat="1" ht="34.5" customHeight="1" x14ac:dyDescent="0.25">
      <c r="A32" s="185">
        <v>156</v>
      </c>
      <c r="B32" s="186"/>
      <c r="C32" s="186" t="s">
        <v>319</v>
      </c>
      <c r="D32" s="186">
        <v>0.125</v>
      </c>
      <c r="E32" s="187"/>
      <c r="F32" s="187"/>
      <c r="G32" s="187"/>
      <c r="H32" s="187"/>
    </row>
    <row r="33" spans="1:12" s="188" customFormat="1" ht="34.5" customHeight="1" x14ac:dyDescent="0.25">
      <c r="A33" s="185">
        <v>38</v>
      </c>
      <c r="B33" s="186"/>
      <c r="C33" s="186" t="s">
        <v>320</v>
      </c>
      <c r="D33" s="186">
        <v>8.5000000000000006E-2</v>
      </c>
      <c r="E33" s="187"/>
      <c r="F33" s="187"/>
      <c r="G33" s="187"/>
      <c r="H33" s="187"/>
    </row>
    <row r="34" spans="1:12" s="188" customFormat="1" ht="34.5" customHeight="1" x14ac:dyDescent="0.25">
      <c r="A34" s="185">
        <v>41</v>
      </c>
      <c r="B34" s="186"/>
      <c r="C34" s="186" t="s">
        <v>321</v>
      </c>
      <c r="D34" s="186">
        <v>0.19</v>
      </c>
      <c r="E34" s="187"/>
      <c r="F34" s="187"/>
      <c r="G34" s="187"/>
      <c r="H34" s="187"/>
    </row>
    <row r="35" spans="1:12" ht="34.5" customHeight="1" x14ac:dyDescent="0.25">
      <c r="A35" s="183">
        <v>55</v>
      </c>
      <c r="B35" s="176"/>
      <c r="C35" s="176" t="s">
        <v>322</v>
      </c>
      <c r="D35" s="176">
        <v>0.28000000000000003</v>
      </c>
      <c r="E35" s="192"/>
      <c r="F35" s="192"/>
      <c r="I35" s="87"/>
      <c r="J35" s="87"/>
      <c r="K35" s="87"/>
      <c r="L35" s="87"/>
    </row>
    <row r="36" spans="1:12" s="188" customFormat="1" ht="34.5" customHeight="1" x14ac:dyDescent="0.25">
      <c r="A36" s="185">
        <v>56</v>
      </c>
      <c r="B36" s="186"/>
      <c r="C36" s="186" t="s">
        <v>323</v>
      </c>
      <c r="D36" s="186">
        <v>0.27500000000000002</v>
      </c>
      <c r="E36" s="187"/>
      <c r="F36" s="187"/>
      <c r="G36" s="187"/>
      <c r="H36" s="187"/>
      <c r="I36" s="187"/>
      <c r="J36" s="187"/>
      <c r="K36" s="187"/>
      <c r="L36" s="187"/>
    </row>
    <row r="37" spans="1:12" s="188" customFormat="1" ht="34.5" customHeight="1" x14ac:dyDescent="0.25">
      <c r="A37" s="185">
        <v>82</v>
      </c>
      <c r="B37" s="186"/>
      <c r="C37" s="186" t="s">
        <v>324</v>
      </c>
      <c r="D37" s="186">
        <v>0.28000000000000003</v>
      </c>
      <c r="E37" s="187"/>
      <c r="F37" s="187"/>
      <c r="G37" s="187"/>
      <c r="H37" s="187"/>
      <c r="I37" s="187"/>
      <c r="J37" s="187"/>
      <c r="K37" s="187"/>
      <c r="L37" s="187"/>
    </row>
    <row r="38" spans="1:12" s="193" customFormat="1" ht="34.5" customHeight="1" x14ac:dyDescent="0.25">
      <c r="A38" s="206"/>
      <c r="B38" s="207"/>
      <c r="C38" s="204" t="s">
        <v>339</v>
      </c>
      <c r="D38" s="208">
        <f>SUM(D27:D37)</f>
        <v>2.3250000000000002</v>
      </c>
      <c r="E38" s="224"/>
      <c r="F38" s="224"/>
      <c r="G38" s="194"/>
      <c r="H38" s="194"/>
      <c r="I38" s="194"/>
      <c r="J38" s="194"/>
      <c r="K38" s="194"/>
      <c r="L38" s="194"/>
    </row>
    <row r="39" spans="1:12" ht="34.5" customHeight="1" x14ac:dyDescent="0.25">
      <c r="A39" s="183"/>
      <c r="B39" s="176"/>
      <c r="C39" s="209" t="s">
        <v>329</v>
      </c>
      <c r="D39" s="176">
        <f>D29+D32+D33+D34+D36+D37</f>
        <v>1.595</v>
      </c>
      <c r="E39" s="192"/>
      <c r="F39" s="192"/>
    </row>
    <row r="40" spans="1:12" ht="34.5" customHeight="1" x14ac:dyDescent="0.25">
      <c r="A40" s="183"/>
      <c r="B40" s="176"/>
      <c r="C40" s="209" t="s">
        <v>330</v>
      </c>
      <c r="D40" s="176">
        <f>D38-D39</f>
        <v>0.7300000000000002</v>
      </c>
      <c r="E40" s="192"/>
      <c r="F40" s="192"/>
    </row>
    <row r="41" spans="1:12" ht="34.5" customHeight="1" x14ac:dyDescent="0.25">
      <c r="A41" s="340" t="s">
        <v>325</v>
      </c>
      <c r="B41" s="340"/>
      <c r="C41" s="340"/>
      <c r="D41" s="340"/>
      <c r="E41" s="223"/>
      <c r="F41" s="223"/>
    </row>
    <row r="42" spans="1:12" ht="34.5" customHeight="1" x14ac:dyDescent="0.25">
      <c r="A42" s="183">
        <v>145</v>
      </c>
      <c r="B42" s="176"/>
      <c r="C42" s="176" t="s">
        <v>326</v>
      </c>
      <c r="D42" s="176">
        <v>2.6</v>
      </c>
      <c r="E42" s="192"/>
      <c r="F42" s="192"/>
    </row>
    <row r="43" spans="1:12" ht="34.5" customHeight="1" x14ac:dyDescent="0.25">
      <c r="A43" s="183">
        <v>128</v>
      </c>
      <c r="B43" s="176"/>
      <c r="C43" s="176" t="s">
        <v>327</v>
      </c>
      <c r="D43" s="176">
        <v>0.35</v>
      </c>
      <c r="E43" s="192"/>
      <c r="F43" s="192"/>
    </row>
    <row r="44" spans="1:12" s="193" customFormat="1" ht="34.5" customHeight="1" x14ac:dyDescent="0.25">
      <c r="C44" s="196" t="s">
        <v>339</v>
      </c>
      <c r="D44" s="197">
        <f>D42</f>
        <v>2.6</v>
      </c>
      <c r="E44" s="197"/>
      <c r="F44" s="197"/>
      <c r="G44" s="194"/>
      <c r="H44" s="194"/>
      <c r="I44" s="194"/>
      <c r="J44" s="194"/>
      <c r="K44" s="194"/>
      <c r="L44" s="194"/>
    </row>
    <row r="45" spans="1:12" s="193" customFormat="1" ht="34.5" customHeight="1" x14ac:dyDescent="0.3">
      <c r="C45" s="198" t="s">
        <v>340</v>
      </c>
      <c r="D45" s="193">
        <f>D25+D38+D44</f>
        <v>8.33</v>
      </c>
      <c r="G45" s="194"/>
      <c r="H45" s="194"/>
      <c r="I45" s="194"/>
      <c r="J45" s="194"/>
      <c r="K45" s="194"/>
      <c r="L45" s="194"/>
    </row>
  </sheetData>
  <mergeCells count="3">
    <mergeCell ref="A26:D26"/>
    <mergeCell ref="A41:D41"/>
    <mergeCell ref="A3:F3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1066"/>
  <sheetViews>
    <sheetView zoomScale="56" zoomScaleNormal="56" workbookViewId="0">
      <selection activeCell="F29" sqref="F29"/>
    </sheetView>
  </sheetViews>
  <sheetFormatPr defaultRowHeight="15.75" x14ac:dyDescent="0.25"/>
  <cols>
    <col min="1" max="1" width="17" style="87" customWidth="1"/>
    <col min="2" max="2" width="10.7109375" style="87" customWidth="1"/>
    <col min="3" max="3" width="93.85546875" style="87" customWidth="1"/>
    <col min="4" max="4" width="13.42578125" style="94" customWidth="1"/>
    <col min="5" max="5" width="18.28515625" style="87" customWidth="1"/>
    <col min="6" max="6" width="27.28515625" style="236" customWidth="1"/>
    <col min="7" max="7" width="14.28515625" style="87" customWidth="1"/>
    <col min="8" max="9" width="9.140625" style="87"/>
    <col min="10" max="10" width="12.85546875" style="87" customWidth="1"/>
    <col min="11" max="11" width="14.7109375" style="87" customWidth="1"/>
    <col min="12" max="12" width="19.42578125" style="87" customWidth="1"/>
    <col min="13" max="13" width="9.140625" style="87"/>
    <col min="14" max="14" width="17.42578125" style="87" customWidth="1"/>
    <col min="15" max="16384" width="9.140625" style="87"/>
  </cols>
  <sheetData>
    <row r="2" spans="1:14" ht="18.75" x14ac:dyDescent="0.3">
      <c r="A2" s="343" t="s">
        <v>344</v>
      </c>
      <c r="B2" s="343"/>
      <c r="C2" s="343"/>
      <c r="D2" s="343"/>
    </row>
    <row r="4" spans="1:14" ht="105.75" customHeight="1" x14ac:dyDescent="0.25">
      <c r="A4" s="220" t="s">
        <v>368</v>
      </c>
      <c r="B4" s="220" t="s">
        <v>202</v>
      </c>
      <c r="C4" s="220" t="s">
        <v>343</v>
      </c>
      <c r="D4" s="220" t="s">
        <v>369</v>
      </c>
      <c r="E4" s="87" t="s">
        <v>364</v>
      </c>
      <c r="F4" s="239" t="s">
        <v>372</v>
      </c>
      <c r="G4" s="239" t="s">
        <v>373</v>
      </c>
    </row>
    <row r="5" spans="1:14" x14ac:dyDescent="0.25">
      <c r="A5" s="220">
        <v>1</v>
      </c>
      <c r="B5" s="220">
        <v>2</v>
      </c>
      <c r="C5" s="220">
        <v>3</v>
      </c>
      <c r="D5" s="220">
        <v>4</v>
      </c>
    </row>
    <row r="6" spans="1:14" ht="39" customHeight="1" x14ac:dyDescent="0.25">
      <c r="A6" s="220">
        <v>2016</v>
      </c>
      <c r="B6" s="226">
        <v>34</v>
      </c>
      <c r="C6" s="173" t="s">
        <v>345</v>
      </c>
      <c r="D6" s="220">
        <v>20</v>
      </c>
      <c r="E6" s="144">
        <v>266.75</v>
      </c>
      <c r="F6" s="241">
        <f>D6*E6</f>
        <v>5335</v>
      </c>
      <c r="G6" s="144">
        <f>F6*1.18</f>
        <v>6295.2999999999993</v>
      </c>
    </row>
    <row r="7" spans="1:14" s="103" customFormat="1" ht="31.5" x14ac:dyDescent="0.25">
      <c r="A7" s="220">
        <v>2016</v>
      </c>
      <c r="B7" s="226">
        <v>49</v>
      </c>
      <c r="C7" s="173" t="s">
        <v>346</v>
      </c>
      <c r="D7" s="147">
        <v>30</v>
      </c>
      <c r="E7" s="144">
        <v>266.75</v>
      </c>
      <c r="F7" s="241">
        <f t="shared" ref="F7:F24" si="0">D7*E7</f>
        <v>8002.5</v>
      </c>
      <c r="G7" s="144">
        <f t="shared" ref="G7:G24" si="1">F7*1.18</f>
        <v>9442.9499999999989</v>
      </c>
    </row>
    <row r="8" spans="1:14" ht="31.5" x14ac:dyDescent="0.25">
      <c r="A8" s="220">
        <v>2016</v>
      </c>
      <c r="B8" s="226">
        <v>55</v>
      </c>
      <c r="C8" s="173" t="s">
        <v>347</v>
      </c>
      <c r="D8" s="220">
        <v>30</v>
      </c>
      <c r="E8" s="144">
        <v>266.75</v>
      </c>
      <c r="F8" s="241">
        <f t="shared" si="0"/>
        <v>8002.5</v>
      </c>
      <c r="G8" s="144">
        <f t="shared" si="1"/>
        <v>9442.9499999999989</v>
      </c>
    </row>
    <row r="9" spans="1:14" ht="46.5" customHeight="1" x14ac:dyDescent="0.25">
      <c r="A9" s="220">
        <v>2016</v>
      </c>
      <c r="B9" s="226">
        <v>59</v>
      </c>
      <c r="C9" s="173" t="s">
        <v>348</v>
      </c>
      <c r="D9" s="220">
        <v>25</v>
      </c>
      <c r="E9" s="144">
        <v>266.75</v>
      </c>
      <c r="F9" s="241">
        <f t="shared" si="0"/>
        <v>6668.75</v>
      </c>
      <c r="G9" s="144">
        <f t="shared" si="1"/>
        <v>7869.125</v>
      </c>
    </row>
    <row r="10" spans="1:14" ht="31.5" x14ac:dyDescent="0.25">
      <c r="A10" s="220">
        <v>2016</v>
      </c>
      <c r="B10" s="226">
        <v>79</v>
      </c>
      <c r="C10" s="227" t="s">
        <v>349</v>
      </c>
      <c r="D10" s="147">
        <v>30</v>
      </c>
      <c r="E10" s="144">
        <v>266.75</v>
      </c>
      <c r="F10" s="241">
        <f t="shared" si="0"/>
        <v>8002.5</v>
      </c>
      <c r="G10" s="144">
        <f t="shared" si="1"/>
        <v>9442.9499999999989</v>
      </c>
    </row>
    <row r="11" spans="1:14" ht="31.5" x14ac:dyDescent="0.25">
      <c r="A11" s="220">
        <v>2016</v>
      </c>
      <c r="B11" s="226">
        <v>87</v>
      </c>
      <c r="C11" s="227" t="s">
        <v>350</v>
      </c>
      <c r="D11" s="147">
        <v>30</v>
      </c>
      <c r="E11" s="144">
        <v>266.75</v>
      </c>
      <c r="F11" s="241">
        <f t="shared" si="0"/>
        <v>8002.5</v>
      </c>
      <c r="G11" s="144">
        <f t="shared" si="1"/>
        <v>9442.9499999999989</v>
      </c>
      <c r="I11" s="87" t="s">
        <v>238</v>
      </c>
      <c r="J11" s="87" t="s">
        <v>364</v>
      </c>
      <c r="K11" s="87" t="s">
        <v>365</v>
      </c>
      <c r="L11" s="87" t="s">
        <v>366</v>
      </c>
      <c r="N11" s="87" t="s">
        <v>367</v>
      </c>
    </row>
    <row r="12" spans="1:14" s="188" customFormat="1" ht="41.25" customHeight="1" x14ac:dyDescent="0.25">
      <c r="A12" s="230">
        <v>2016</v>
      </c>
      <c r="B12" s="231">
        <v>102</v>
      </c>
      <c r="C12" s="232" t="s">
        <v>351</v>
      </c>
      <c r="D12" s="230">
        <v>100</v>
      </c>
      <c r="E12" s="233">
        <v>266.75</v>
      </c>
      <c r="F12" s="241">
        <f t="shared" si="0"/>
        <v>26675</v>
      </c>
      <c r="G12" s="233">
        <f t="shared" si="1"/>
        <v>31476.5</v>
      </c>
      <c r="I12" s="188">
        <v>0.64</v>
      </c>
      <c r="J12" s="188">
        <v>434315.69</v>
      </c>
      <c r="K12" s="188">
        <f>I12*J12</f>
        <v>277962.0416</v>
      </c>
      <c r="L12" s="233">
        <f>K12*1.18</f>
        <v>327995.209088</v>
      </c>
      <c r="N12" s="233">
        <f>G12+L12</f>
        <v>359471.709088</v>
      </c>
    </row>
    <row r="13" spans="1:14" ht="31.5" x14ac:dyDescent="0.25">
      <c r="A13" s="220">
        <v>2016</v>
      </c>
      <c r="B13" s="226">
        <v>108</v>
      </c>
      <c r="C13" s="227" t="s">
        <v>352</v>
      </c>
      <c r="D13" s="220">
        <v>35</v>
      </c>
      <c r="E13" s="144">
        <v>266.75</v>
      </c>
      <c r="F13" s="241">
        <f t="shared" si="0"/>
        <v>9336.25</v>
      </c>
      <c r="G13" s="144">
        <f t="shared" si="1"/>
        <v>11016.775</v>
      </c>
      <c r="K13" s="87">
        <f t="shared" ref="K13:K23" si="2">I13*J13</f>
        <v>0</v>
      </c>
      <c r="L13" s="144">
        <f t="shared" ref="L13:L23" si="3">K13*1.18</f>
        <v>0</v>
      </c>
      <c r="N13" s="233">
        <f t="shared" ref="N13:N23" si="4">G13+L13</f>
        <v>11016.775</v>
      </c>
    </row>
    <row r="14" spans="1:14" ht="31.5" x14ac:dyDescent="0.25">
      <c r="A14" s="220">
        <v>2016</v>
      </c>
      <c r="B14" s="226">
        <v>109</v>
      </c>
      <c r="C14" s="227" t="s">
        <v>353</v>
      </c>
      <c r="D14" s="220">
        <v>30</v>
      </c>
      <c r="E14" s="144">
        <v>266.75</v>
      </c>
      <c r="F14" s="241">
        <f t="shared" si="0"/>
        <v>8002.5</v>
      </c>
      <c r="G14" s="144">
        <f t="shared" si="1"/>
        <v>9442.9499999999989</v>
      </c>
      <c r="K14" s="87">
        <f t="shared" si="2"/>
        <v>0</v>
      </c>
      <c r="L14" s="144">
        <f t="shared" si="3"/>
        <v>0</v>
      </c>
      <c r="N14" s="233">
        <f t="shared" si="4"/>
        <v>9442.9499999999989</v>
      </c>
    </row>
    <row r="15" spans="1:14" ht="31.5" x14ac:dyDescent="0.25">
      <c r="A15" s="220">
        <v>2016</v>
      </c>
      <c r="B15" s="226">
        <v>117</v>
      </c>
      <c r="C15" s="227" t="s">
        <v>354</v>
      </c>
      <c r="D15" s="220">
        <v>30</v>
      </c>
      <c r="E15" s="144">
        <v>266.75</v>
      </c>
      <c r="F15" s="241">
        <f t="shared" si="0"/>
        <v>8002.5</v>
      </c>
      <c r="G15" s="144">
        <f t="shared" si="1"/>
        <v>9442.9499999999989</v>
      </c>
      <c r="K15" s="87">
        <f t="shared" si="2"/>
        <v>0</v>
      </c>
      <c r="L15" s="144">
        <f t="shared" si="3"/>
        <v>0</v>
      </c>
      <c r="N15" s="233">
        <f t="shared" si="4"/>
        <v>9442.9499999999989</v>
      </c>
    </row>
    <row r="16" spans="1:14" ht="31.5" x14ac:dyDescent="0.25">
      <c r="A16" s="220">
        <v>2016</v>
      </c>
      <c r="B16" s="226">
        <v>136</v>
      </c>
      <c r="C16" s="227" t="s">
        <v>355</v>
      </c>
      <c r="D16" s="220">
        <v>28</v>
      </c>
      <c r="E16" s="144">
        <v>266.75</v>
      </c>
      <c r="F16" s="241">
        <f t="shared" si="0"/>
        <v>7469</v>
      </c>
      <c r="G16" s="144">
        <f t="shared" si="1"/>
        <v>8813.42</v>
      </c>
      <c r="K16" s="87">
        <f t="shared" si="2"/>
        <v>0</v>
      </c>
      <c r="L16" s="144">
        <f t="shared" si="3"/>
        <v>0</v>
      </c>
      <c r="N16" s="233">
        <f t="shared" si="4"/>
        <v>8813.42</v>
      </c>
    </row>
    <row r="17" spans="1:14" s="188" customFormat="1" ht="47.25" x14ac:dyDescent="0.25">
      <c r="A17" s="230">
        <v>2016</v>
      </c>
      <c r="B17" s="231">
        <v>156</v>
      </c>
      <c r="C17" s="232" t="s">
        <v>356</v>
      </c>
      <c r="D17" s="230">
        <v>90</v>
      </c>
      <c r="E17" s="233">
        <v>266.75</v>
      </c>
      <c r="F17" s="241">
        <f t="shared" si="0"/>
        <v>24007.5</v>
      </c>
      <c r="G17" s="233">
        <f t="shared" si="1"/>
        <v>28328.85</v>
      </c>
      <c r="I17" s="188">
        <v>0.125</v>
      </c>
      <c r="J17" s="188">
        <f>J12</f>
        <v>434315.69</v>
      </c>
      <c r="K17" s="188">
        <f t="shared" si="2"/>
        <v>54289.46125</v>
      </c>
      <c r="L17" s="233">
        <f t="shared" si="3"/>
        <v>64061.564274999997</v>
      </c>
      <c r="N17" s="233">
        <f t="shared" si="4"/>
        <v>92390.414274999988</v>
      </c>
    </row>
    <row r="18" spans="1:14" ht="31.5" x14ac:dyDescent="0.25">
      <c r="A18" s="220">
        <v>2017</v>
      </c>
      <c r="B18" s="129">
        <v>28</v>
      </c>
      <c r="C18" s="227" t="s">
        <v>357</v>
      </c>
      <c r="D18" s="220">
        <v>40</v>
      </c>
      <c r="E18" s="144">
        <v>264.04000000000002</v>
      </c>
      <c r="F18" s="241">
        <f t="shared" si="0"/>
        <v>10561.6</v>
      </c>
      <c r="G18" s="144">
        <f t="shared" si="1"/>
        <v>12462.688</v>
      </c>
      <c r="K18" s="87">
        <f t="shared" si="2"/>
        <v>0</v>
      </c>
      <c r="L18" s="144">
        <f t="shared" si="3"/>
        <v>0</v>
      </c>
      <c r="N18" s="233">
        <f t="shared" si="4"/>
        <v>12462.688</v>
      </c>
    </row>
    <row r="19" spans="1:14" s="188" customFormat="1" ht="47.25" x14ac:dyDescent="0.25">
      <c r="A19" s="230">
        <v>2017</v>
      </c>
      <c r="B19" s="231">
        <v>38</v>
      </c>
      <c r="C19" s="232" t="s">
        <v>358</v>
      </c>
      <c r="D19" s="230">
        <v>59.37</v>
      </c>
      <c r="E19" s="233">
        <v>264.04000000000002</v>
      </c>
      <c r="F19" s="241">
        <f t="shared" si="0"/>
        <v>15676.0548</v>
      </c>
      <c r="G19" s="233">
        <f t="shared" si="1"/>
        <v>18497.744663999998</v>
      </c>
      <c r="I19" s="188">
        <v>8.5000000000000006E-2</v>
      </c>
      <c r="J19" s="188">
        <v>1059820</v>
      </c>
      <c r="K19" s="188">
        <f t="shared" si="2"/>
        <v>90084.700000000012</v>
      </c>
      <c r="L19" s="233">
        <f t="shared" si="3"/>
        <v>106299.94600000001</v>
      </c>
      <c r="N19" s="233">
        <f t="shared" si="4"/>
        <v>124797.69066400001</v>
      </c>
    </row>
    <row r="20" spans="1:14" s="188" customFormat="1" ht="31.5" x14ac:dyDescent="0.25">
      <c r="A20" s="230">
        <v>2017</v>
      </c>
      <c r="B20" s="231">
        <v>41</v>
      </c>
      <c r="C20" s="232" t="s">
        <v>359</v>
      </c>
      <c r="D20" s="230">
        <v>50</v>
      </c>
      <c r="E20" s="233">
        <v>264.04000000000002</v>
      </c>
      <c r="F20" s="241">
        <f t="shared" si="0"/>
        <v>13202.000000000002</v>
      </c>
      <c r="G20" s="233">
        <f t="shared" si="1"/>
        <v>15578.36</v>
      </c>
      <c r="I20" s="188">
        <v>0.19</v>
      </c>
      <c r="J20" s="188">
        <v>848460</v>
      </c>
      <c r="K20" s="188">
        <f t="shared" si="2"/>
        <v>161207.4</v>
      </c>
      <c r="L20" s="233">
        <f t="shared" si="3"/>
        <v>190224.73199999999</v>
      </c>
      <c r="N20" s="233">
        <f t="shared" si="4"/>
        <v>205803.092</v>
      </c>
    </row>
    <row r="21" spans="1:14" ht="63" x14ac:dyDescent="0.25">
      <c r="A21" s="220">
        <v>2017</v>
      </c>
      <c r="B21" s="226">
        <v>55</v>
      </c>
      <c r="C21" s="227" t="s">
        <v>360</v>
      </c>
      <c r="D21" s="220">
        <v>80</v>
      </c>
      <c r="E21" s="144">
        <v>264.04000000000002</v>
      </c>
      <c r="F21" s="241">
        <f t="shared" si="0"/>
        <v>21123.200000000001</v>
      </c>
      <c r="G21" s="144">
        <f t="shared" si="1"/>
        <v>24925.376</v>
      </c>
      <c r="J21" s="87">
        <v>848460</v>
      </c>
      <c r="K21" s="87">
        <f t="shared" si="2"/>
        <v>0</v>
      </c>
      <c r="L21" s="144">
        <f t="shared" si="3"/>
        <v>0</v>
      </c>
      <c r="N21" s="233">
        <f t="shared" si="4"/>
        <v>24925.376</v>
      </c>
    </row>
    <row r="22" spans="1:14" s="188" customFormat="1" ht="31.5" x14ac:dyDescent="0.25">
      <c r="A22" s="230">
        <v>2017</v>
      </c>
      <c r="B22" s="231">
        <v>56</v>
      </c>
      <c r="C22" s="232" t="s">
        <v>361</v>
      </c>
      <c r="D22" s="230">
        <v>50</v>
      </c>
      <c r="E22" s="233">
        <v>264.04000000000002</v>
      </c>
      <c r="F22" s="241">
        <f t="shared" si="0"/>
        <v>13202.000000000002</v>
      </c>
      <c r="G22" s="233">
        <f t="shared" si="1"/>
        <v>15578.36</v>
      </c>
      <c r="I22" s="188">
        <v>0.27500000000000002</v>
      </c>
      <c r="J22" s="188">
        <v>848460</v>
      </c>
      <c r="K22" s="188">
        <f t="shared" si="2"/>
        <v>233326.50000000003</v>
      </c>
      <c r="L22" s="233">
        <f t="shared" si="3"/>
        <v>275325.27</v>
      </c>
      <c r="N22" s="233">
        <f t="shared" si="4"/>
        <v>290903.63</v>
      </c>
    </row>
    <row r="23" spans="1:14" s="188" customFormat="1" ht="31.5" x14ac:dyDescent="0.25">
      <c r="A23" s="230">
        <v>2017</v>
      </c>
      <c r="B23" s="231">
        <v>82</v>
      </c>
      <c r="C23" s="232" t="s">
        <v>362</v>
      </c>
      <c r="D23" s="230">
        <v>40</v>
      </c>
      <c r="E23" s="233">
        <v>264.04000000000002</v>
      </c>
      <c r="F23" s="241">
        <f t="shared" si="0"/>
        <v>10561.6</v>
      </c>
      <c r="G23" s="233">
        <f t="shared" si="1"/>
        <v>12462.688</v>
      </c>
      <c r="I23" s="188">
        <v>0.28000000000000003</v>
      </c>
      <c r="J23" s="188">
        <v>798090</v>
      </c>
      <c r="K23" s="188">
        <f t="shared" si="2"/>
        <v>223465.2</v>
      </c>
      <c r="L23" s="233">
        <f t="shared" si="3"/>
        <v>263688.93599999999</v>
      </c>
      <c r="N23" s="233">
        <f t="shared" si="4"/>
        <v>276151.62400000001</v>
      </c>
    </row>
    <row r="24" spans="1:14" ht="41.25" customHeight="1" x14ac:dyDescent="0.25">
      <c r="A24" s="229">
        <v>43040</v>
      </c>
      <c r="B24" s="220">
        <v>95</v>
      </c>
      <c r="C24" s="227" t="s">
        <v>363</v>
      </c>
      <c r="D24" s="220">
        <v>30</v>
      </c>
      <c r="E24" s="144">
        <v>264.04000000000002</v>
      </c>
      <c r="F24" s="241">
        <f t="shared" si="0"/>
        <v>7921.2000000000007</v>
      </c>
      <c r="G24" s="144">
        <f t="shared" si="1"/>
        <v>9347.0159999999996</v>
      </c>
    </row>
    <row r="25" spans="1:14" ht="41.25" customHeight="1" x14ac:dyDescent="0.25">
      <c r="B25" s="172"/>
      <c r="C25" s="172"/>
      <c r="D25" s="222">
        <f>SUM(D6:D24)</f>
        <v>827.37</v>
      </c>
      <c r="E25" s="144"/>
      <c r="F25" s="241"/>
      <c r="G25" s="144"/>
    </row>
    <row r="26" spans="1:14" x14ac:dyDescent="0.25">
      <c r="B26" s="172"/>
      <c r="C26" s="235" t="s">
        <v>330</v>
      </c>
      <c r="D26" s="222">
        <f>SUM(D6:D24)-D12-D17-D19-D20-D22-D23</f>
        <v>438</v>
      </c>
      <c r="E26" s="240"/>
      <c r="F26" s="240">
        <f t="shared" ref="F26" si="5">SUM(F6:F24)-F12-F17-F19-F20-F22-F23</f>
        <v>116430.00000000003</v>
      </c>
      <c r="G26" s="144"/>
      <c r="I26" s="144">
        <f t="shared" ref="I26" si="6">SUM(I12:I23)</f>
        <v>1.595</v>
      </c>
      <c r="J26" s="144"/>
      <c r="K26" s="144">
        <f>SUM(K12:K23)</f>
        <v>1040335.3028500001</v>
      </c>
      <c r="L26" s="144">
        <f>SUM(L12:L23)</f>
        <v>1227595.6573629999</v>
      </c>
      <c r="N26" s="144">
        <f>SUM(N12:N23)</f>
        <v>1425622.3190270001</v>
      </c>
    </row>
    <row r="27" spans="1:14" x14ac:dyDescent="0.25">
      <c r="B27" s="172"/>
      <c r="C27" s="235">
        <v>2016</v>
      </c>
      <c r="D27" s="222">
        <f>D6+D7+D8+D9+D10+D11+D13+D14+D15+D16</f>
        <v>288</v>
      </c>
      <c r="E27" s="240"/>
      <c r="F27" s="240"/>
      <c r="G27" s="144"/>
      <c r="I27" s="144"/>
      <c r="J27" s="144"/>
      <c r="K27" s="144"/>
      <c r="L27" s="144"/>
      <c r="N27" s="144"/>
    </row>
    <row r="28" spans="1:14" x14ac:dyDescent="0.25">
      <c r="B28" s="172"/>
      <c r="C28" s="235">
        <v>2017</v>
      </c>
      <c r="D28" s="222">
        <f>D18+D21+D24</f>
        <v>150</v>
      </c>
      <c r="E28" s="240"/>
      <c r="F28" s="240"/>
      <c r="G28" s="144"/>
      <c r="I28" s="144"/>
      <c r="J28" s="144"/>
      <c r="K28" s="144"/>
      <c r="L28" s="144"/>
      <c r="N28" s="144"/>
    </row>
    <row r="29" spans="1:14" x14ac:dyDescent="0.25">
      <c r="B29" s="172"/>
      <c r="C29" s="235" t="s">
        <v>371</v>
      </c>
      <c r="D29" s="222">
        <f>D12+D17+D19+D20+D22+D23</f>
        <v>389.37</v>
      </c>
      <c r="E29" s="240"/>
      <c r="F29" s="253">
        <f t="shared" ref="F29" si="7">F12+F17+F19+F20+F22+F23</f>
        <v>103324.1548</v>
      </c>
      <c r="G29" s="144"/>
      <c r="N29" s="87">
        <f>N26/1.18</f>
        <v>1208154.50765</v>
      </c>
    </row>
    <row r="30" spans="1:14" s="172" customFormat="1" x14ac:dyDescent="0.25">
      <c r="D30" s="222"/>
      <c r="F30" s="237"/>
    </row>
    <row r="31" spans="1:14" s="172" customFormat="1" x14ac:dyDescent="0.25">
      <c r="C31" s="342"/>
      <c r="D31" s="342"/>
      <c r="F31" s="237"/>
    </row>
    <row r="32" spans="1:14" s="172" customFormat="1" x14ac:dyDescent="0.25">
      <c r="C32" s="228"/>
      <c r="D32" s="222"/>
      <c r="F32" s="237"/>
    </row>
    <row r="33" spans="1:9" s="172" customFormat="1" x14ac:dyDescent="0.25">
      <c r="C33" s="228"/>
      <c r="D33" s="222">
        <v>2</v>
      </c>
      <c r="E33" s="172">
        <f>E12</f>
        <v>266.75</v>
      </c>
      <c r="F33" s="242">
        <f>D12+D17</f>
        <v>190</v>
      </c>
      <c r="G33" s="172">
        <f>E33*F33</f>
        <v>50682.5</v>
      </c>
      <c r="I33" s="238">
        <f>F12+F17-G33</f>
        <v>0</v>
      </c>
    </row>
    <row r="34" spans="1:9" s="172" customFormat="1" x14ac:dyDescent="0.25">
      <c r="C34" s="228"/>
      <c r="D34" s="222">
        <v>4</v>
      </c>
      <c r="E34" s="172">
        <f>E19</f>
        <v>264.04000000000002</v>
      </c>
      <c r="F34" s="242">
        <f>D19+D20+D22+D23</f>
        <v>199.37</v>
      </c>
      <c r="G34" s="172">
        <f>E34*F34</f>
        <v>52641.654800000004</v>
      </c>
      <c r="I34" s="238">
        <f>F19+F20+F22+F23-G34</f>
        <v>0</v>
      </c>
    </row>
    <row r="35" spans="1:9" s="172" customFormat="1" x14ac:dyDescent="0.25">
      <c r="C35" s="228"/>
      <c r="D35" s="222"/>
      <c r="F35" s="237"/>
    </row>
    <row r="36" spans="1:9" s="172" customFormat="1" ht="30" customHeight="1" x14ac:dyDescent="0.25">
      <c r="A36" s="344" t="s">
        <v>374</v>
      </c>
      <c r="B36" s="344"/>
      <c r="C36" s="344"/>
      <c r="D36" s="222">
        <v>15</v>
      </c>
      <c r="F36" s="237"/>
    </row>
    <row r="37" spans="1:9" s="172" customFormat="1" ht="83.25" customHeight="1" x14ac:dyDescent="0.25">
      <c r="A37" s="243" t="s">
        <v>375</v>
      </c>
      <c r="B37" s="243" t="s">
        <v>378</v>
      </c>
      <c r="C37" s="243" t="s">
        <v>379</v>
      </c>
      <c r="D37" s="222"/>
      <c r="E37" s="247"/>
      <c r="F37" s="237"/>
    </row>
    <row r="38" spans="1:9" s="172" customFormat="1" x14ac:dyDescent="0.25">
      <c r="A38" s="172">
        <v>2016</v>
      </c>
      <c r="B38" s="172">
        <v>15</v>
      </c>
      <c r="C38" s="228">
        <f>B38*$D$36</f>
        <v>225</v>
      </c>
      <c r="D38" s="222" t="e">
        <f>#REF!</f>
        <v>#REF!</v>
      </c>
      <c r="E38" s="245"/>
      <c r="F38" s="237"/>
    </row>
    <row r="39" spans="1:9" s="172" customFormat="1" x14ac:dyDescent="0.25">
      <c r="A39" s="172">
        <v>2017</v>
      </c>
      <c r="B39" s="172">
        <v>50</v>
      </c>
      <c r="C39" s="228">
        <f>B39*$D$36</f>
        <v>750</v>
      </c>
      <c r="D39" s="222" t="e">
        <f>#REF!</f>
        <v>#REF!</v>
      </c>
      <c r="E39" s="245"/>
      <c r="F39" s="237"/>
    </row>
    <row r="40" spans="1:9" s="172" customFormat="1" x14ac:dyDescent="0.25">
      <c r="C40" s="228"/>
      <c r="D40" s="222"/>
      <c r="E40" s="245"/>
      <c r="F40" s="248"/>
    </row>
    <row r="41" spans="1:9" s="172" customFormat="1" x14ac:dyDescent="0.25">
      <c r="A41" s="172" t="s">
        <v>376</v>
      </c>
      <c r="C41" s="228">
        <f t="shared" ref="C41:C44" si="8">B41*$D$36</f>
        <v>0</v>
      </c>
      <c r="D41" s="222"/>
      <c r="E41" s="245"/>
      <c r="F41" s="237"/>
    </row>
    <row r="42" spans="1:9" s="172" customFormat="1" x14ac:dyDescent="0.25">
      <c r="A42" s="172">
        <v>2016</v>
      </c>
      <c r="B42" s="172">
        <v>1</v>
      </c>
      <c r="C42" s="228">
        <f t="shared" si="8"/>
        <v>15</v>
      </c>
      <c r="D42" s="222" t="e">
        <f>D38</f>
        <v>#REF!</v>
      </c>
      <c r="E42" s="245"/>
      <c r="F42" s="237"/>
    </row>
    <row r="43" spans="1:9" s="172" customFormat="1" x14ac:dyDescent="0.25">
      <c r="A43" s="172" t="s">
        <v>377</v>
      </c>
      <c r="C43" s="228">
        <f t="shared" si="8"/>
        <v>0</v>
      </c>
      <c r="D43" s="222"/>
      <c r="E43" s="245"/>
      <c r="F43" s="237"/>
    </row>
    <row r="44" spans="1:9" s="172" customFormat="1" x14ac:dyDescent="0.25">
      <c r="A44" s="172">
        <v>2017</v>
      </c>
      <c r="B44" s="172">
        <v>6</v>
      </c>
      <c r="C44" s="228">
        <f t="shared" si="8"/>
        <v>90</v>
      </c>
      <c r="D44" s="222" t="e">
        <f>D39</f>
        <v>#REF!</v>
      </c>
      <c r="E44" s="245"/>
      <c r="F44" s="237"/>
    </row>
    <row r="45" spans="1:9" s="172" customFormat="1" x14ac:dyDescent="0.25">
      <c r="B45" s="172">
        <f>SUM(B38:B44)</f>
        <v>72</v>
      </c>
      <c r="C45" s="244">
        <f>SUM(C38:C44)</f>
        <v>1080</v>
      </c>
      <c r="D45" s="244"/>
      <c r="E45" s="246"/>
      <c r="F45" s="237"/>
    </row>
    <row r="46" spans="1:9" s="172" customFormat="1" x14ac:dyDescent="0.25">
      <c r="C46" s="228"/>
      <c r="D46" s="222"/>
      <c r="F46" s="237"/>
    </row>
    <row r="47" spans="1:9" s="172" customFormat="1" x14ac:dyDescent="0.25">
      <c r="C47" s="228"/>
      <c r="D47" s="222"/>
      <c r="F47" s="237"/>
    </row>
    <row r="48" spans="1:9" s="172" customFormat="1" x14ac:dyDescent="0.25">
      <c r="C48" s="228"/>
      <c r="D48" s="222"/>
      <c r="F48" s="237"/>
    </row>
    <row r="49" spans="3:6" s="172" customFormat="1" x14ac:dyDescent="0.25">
      <c r="C49" s="228"/>
      <c r="D49" s="222"/>
      <c r="F49" s="237"/>
    </row>
    <row r="50" spans="3:6" s="172" customFormat="1" x14ac:dyDescent="0.25">
      <c r="D50" s="222"/>
      <c r="F50" s="237"/>
    </row>
    <row r="51" spans="3:6" s="172" customFormat="1" x14ac:dyDescent="0.25">
      <c r="C51" s="228"/>
      <c r="D51" s="222"/>
      <c r="F51" s="237"/>
    </row>
    <row r="52" spans="3:6" s="172" customFormat="1" x14ac:dyDescent="0.25">
      <c r="C52" s="228"/>
      <c r="D52" s="222"/>
      <c r="F52" s="237"/>
    </row>
    <row r="53" spans="3:6" s="172" customFormat="1" x14ac:dyDescent="0.25">
      <c r="C53" s="228"/>
      <c r="D53" s="222"/>
      <c r="F53" s="237"/>
    </row>
    <row r="54" spans="3:6" s="172" customFormat="1" x14ac:dyDescent="0.25">
      <c r="C54" s="228"/>
      <c r="D54" s="222"/>
      <c r="F54" s="237"/>
    </row>
    <row r="55" spans="3:6" s="172" customFormat="1" x14ac:dyDescent="0.25">
      <c r="C55" s="228"/>
      <c r="D55" s="222"/>
      <c r="F55" s="237"/>
    </row>
    <row r="56" spans="3:6" s="172" customFormat="1" x14ac:dyDescent="0.25">
      <c r="D56" s="222"/>
      <c r="F56" s="237"/>
    </row>
    <row r="57" spans="3:6" s="172" customFormat="1" x14ac:dyDescent="0.25">
      <c r="C57" s="228"/>
      <c r="D57" s="222"/>
      <c r="F57" s="237"/>
    </row>
    <row r="58" spans="3:6" s="172" customFormat="1" x14ac:dyDescent="0.25">
      <c r="C58" s="228"/>
      <c r="D58" s="222"/>
      <c r="F58" s="237"/>
    </row>
    <row r="59" spans="3:6" s="172" customFormat="1" x14ac:dyDescent="0.25">
      <c r="C59" s="228"/>
      <c r="D59" s="222"/>
      <c r="F59" s="237"/>
    </row>
    <row r="60" spans="3:6" s="172" customFormat="1" x14ac:dyDescent="0.25">
      <c r="C60" s="228"/>
      <c r="D60" s="222"/>
      <c r="F60" s="237"/>
    </row>
    <row r="61" spans="3:6" s="172" customFormat="1" x14ac:dyDescent="0.25">
      <c r="C61" s="228"/>
      <c r="D61" s="222"/>
      <c r="F61" s="237"/>
    </row>
    <row r="62" spans="3:6" s="172" customFormat="1" x14ac:dyDescent="0.25">
      <c r="D62" s="222"/>
      <c r="F62" s="237"/>
    </row>
    <row r="63" spans="3:6" s="172" customFormat="1" x14ac:dyDescent="0.25">
      <c r="C63" s="228"/>
      <c r="D63" s="222"/>
      <c r="F63" s="237"/>
    </row>
    <row r="64" spans="3:6" s="172" customFormat="1" x14ac:dyDescent="0.25">
      <c r="C64" s="228"/>
      <c r="D64" s="222"/>
      <c r="F64" s="237"/>
    </row>
    <row r="65" spans="3:6" s="172" customFormat="1" x14ac:dyDescent="0.25">
      <c r="C65" s="228"/>
      <c r="D65" s="222"/>
      <c r="F65" s="237"/>
    </row>
    <row r="66" spans="3:6" s="172" customFormat="1" x14ac:dyDescent="0.25">
      <c r="C66" s="228"/>
      <c r="D66" s="222"/>
      <c r="F66" s="237"/>
    </row>
    <row r="67" spans="3:6" s="172" customFormat="1" x14ac:dyDescent="0.25">
      <c r="C67" s="228"/>
      <c r="D67" s="222"/>
      <c r="F67" s="237"/>
    </row>
    <row r="68" spans="3:6" s="172" customFormat="1" x14ac:dyDescent="0.25">
      <c r="D68" s="222"/>
      <c r="F68" s="237"/>
    </row>
    <row r="69" spans="3:6" s="172" customFormat="1" x14ac:dyDescent="0.25">
      <c r="D69" s="222"/>
      <c r="F69" s="237"/>
    </row>
    <row r="70" spans="3:6" s="172" customFormat="1" x14ac:dyDescent="0.25">
      <c r="C70" s="228"/>
      <c r="D70" s="222"/>
      <c r="F70" s="237"/>
    </row>
    <row r="71" spans="3:6" s="172" customFormat="1" x14ac:dyDescent="0.25">
      <c r="C71" s="228"/>
      <c r="D71" s="222"/>
      <c r="F71" s="237"/>
    </row>
    <row r="72" spans="3:6" s="172" customFormat="1" x14ac:dyDescent="0.25">
      <c r="C72" s="228"/>
      <c r="D72" s="222"/>
      <c r="F72" s="237"/>
    </row>
    <row r="73" spans="3:6" s="172" customFormat="1" x14ac:dyDescent="0.25">
      <c r="C73" s="228"/>
      <c r="D73" s="222"/>
      <c r="F73" s="237"/>
    </row>
    <row r="74" spans="3:6" s="172" customFormat="1" x14ac:dyDescent="0.25">
      <c r="C74" s="228"/>
      <c r="D74" s="222"/>
      <c r="F74" s="237"/>
    </row>
    <row r="75" spans="3:6" s="172" customFormat="1" x14ac:dyDescent="0.25">
      <c r="D75" s="222"/>
      <c r="F75" s="237"/>
    </row>
    <row r="76" spans="3:6" s="172" customFormat="1" x14ac:dyDescent="0.25">
      <c r="C76" s="228"/>
      <c r="D76" s="222"/>
      <c r="F76" s="237"/>
    </row>
    <row r="77" spans="3:6" s="172" customFormat="1" x14ac:dyDescent="0.25">
      <c r="C77" s="228"/>
      <c r="D77" s="222"/>
      <c r="F77" s="237"/>
    </row>
    <row r="78" spans="3:6" s="172" customFormat="1" x14ac:dyDescent="0.25">
      <c r="C78" s="228"/>
      <c r="D78" s="222"/>
      <c r="F78" s="237"/>
    </row>
    <row r="79" spans="3:6" s="172" customFormat="1" x14ac:dyDescent="0.25">
      <c r="C79" s="228"/>
      <c r="D79" s="222"/>
      <c r="F79" s="237"/>
    </row>
    <row r="80" spans="3:6" s="172" customFormat="1" x14ac:dyDescent="0.25">
      <c r="C80" s="228"/>
      <c r="D80" s="222"/>
      <c r="F80" s="237"/>
    </row>
    <row r="81" spans="2:6" s="172" customFormat="1" x14ac:dyDescent="0.25">
      <c r="D81" s="222"/>
      <c r="F81" s="237"/>
    </row>
    <row r="82" spans="2:6" s="172" customFormat="1" x14ac:dyDescent="0.25">
      <c r="D82" s="222"/>
      <c r="F82" s="237"/>
    </row>
    <row r="83" spans="2:6" s="192" customFormat="1" x14ac:dyDescent="0.25">
      <c r="B83" s="175"/>
      <c r="C83" s="228"/>
      <c r="D83" s="175"/>
      <c r="F83" s="237"/>
    </row>
    <row r="84" spans="2:6" s="192" customFormat="1" x14ac:dyDescent="0.25">
      <c r="B84" s="175"/>
      <c r="C84" s="228"/>
      <c r="D84" s="175"/>
      <c r="F84" s="237"/>
    </row>
    <row r="85" spans="2:6" s="192" customFormat="1" x14ac:dyDescent="0.25">
      <c r="B85" s="175"/>
      <c r="C85" s="228"/>
      <c r="D85" s="175"/>
      <c r="F85" s="237"/>
    </row>
    <row r="86" spans="2:6" s="192" customFormat="1" x14ac:dyDescent="0.25">
      <c r="B86" s="175"/>
      <c r="C86" s="228"/>
      <c r="D86" s="175"/>
      <c r="F86" s="237"/>
    </row>
    <row r="87" spans="2:6" s="192" customFormat="1" x14ac:dyDescent="0.25">
      <c r="B87" s="175"/>
      <c r="C87" s="228"/>
      <c r="D87" s="175"/>
      <c r="F87" s="237"/>
    </row>
    <row r="88" spans="2:6" s="192" customFormat="1" x14ac:dyDescent="0.25">
      <c r="B88" s="175"/>
      <c r="D88" s="175"/>
      <c r="F88" s="237"/>
    </row>
    <row r="89" spans="2:6" s="192" customFormat="1" x14ac:dyDescent="0.25">
      <c r="B89" s="175"/>
      <c r="C89" s="228"/>
      <c r="D89" s="175"/>
      <c r="F89" s="237"/>
    </row>
    <row r="90" spans="2:6" s="192" customFormat="1" x14ac:dyDescent="0.25">
      <c r="B90" s="175"/>
      <c r="C90" s="228"/>
      <c r="D90" s="175"/>
      <c r="F90" s="237"/>
    </row>
    <row r="91" spans="2:6" s="192" customFormat="1" x14ac:dyDescent="0.25">
      <c r="B91" s="175"/>
      <c r="C91" s="228"/>
      <c r="D91" s="175"/>
      <c r="F91" s="237"/>
    </row>
    <row r="92" spans="2:6" s="192" customFormat="1" x14ac:dyDescent="0.25">
      <c r="B92" s="175"/>
      <c r="C92" s="228"/>
      <c r="D92" s="175"/>
      <c r="F92" s="237"/>
    </row>
    <row r="93" spans="2:6" s="192" customFormat="1" x14ac:dyDescent="0.25">
      <c r="B93" s="175"/>
      <c r="C93" s="228"/>
      <c r="D93" s="175"/>
      <c r="F93" s="237"/>
    </row>
    <row r="94" spans="2:6" s="192" customFormat="1" x14ac:dyDescent="0.25">
      <c r="B94" s="175"/>
      <c r="D94" s="175"/>
      <c r="F94" s="237"/>
    </row>
    <row r="95" spans="2:6" s="192" customFormat="1" x14ac:dyDescent="0.25">
      <c r="B95" s="175"/>
      <c r="C95" s="228"/>
      <c r="D95" s="175"/>
      <c r="F95" s="237"/>
    </row>
    <row r="96" spans="2:6" s="192" customFormat="1" x14ac:dyDescent="0.25">
      <c r="B96" s="175"/>
      <c r="C96" s="228"/>
      <c r="D96" s="175"/>
      <c r="F96" s="237"/>
    </row>
    <row r="97" spans="2:6" s="192" customFormat="1" x14ac:dyDescent="0.25">
      <c r="B97" s="175"/>
      <c r="C97" s="228"/>
      <c r="D97" s="175"/>
      <c r="F97" s="237"/>
    </row>
    <row r="98" spans="2:6" s="192" customFormat="1" x14ac:dyDescent="0.25">
      <c r="B98" s="175"/>
      <c r="C98" s="228"/>
      <c r="D98" s="175"/>
      <c r="F98" s="237"/>
    </row>
    <row r="99" spans="2:6" s="192" customFormat="1" x14ac:dyDescent="0.25">
      <c r="B99" s="175"/>
      <c r="C99" s="228"/>
      <c r="D99" s="175"/>
      <c r="F99" s="237"/>
    </row>
    <row r="100" spans="2:6" s="192" customFormat="1" x14ac:dyDescent="0.25">
      <c r="B100" s="175"/>
      <c r="D100" s="175"/>
      <c r="F100" s="237"/>
    </row>
    <row r="101" spans="2:6" s="192" customFormat="1" x14ac:dyDescent="0.25">
      <c r="B101" s="175"/>
      <c r="C101" s="228"/>
      <c r="D101" s="175"/>
      <c r="F101" s="237"/>
    </row>
    <row r="102" spans="2:6" s="192" customFormat="1" x14ac:dyDescent="0.25">
      <c r="B102" s="175"/>
      <c r="C102" s="228"/>
      <c r="D102" s="175"/>
      <c r="F102" s="237"/>
    </row>
    <row r="103" spans="2:6" s="192" customFormat="1" x14ac:dyDescent="0.25">
      <c r="B103" s="175"/>
      <c r="C103" s="228"/>
      <c r="D103" s="175"/>
      <c r="F103" s="237"/>
    </row>
    <row r="104" spans="2:6" s="192" customFormat="1" x14ac:dyDescent="0.25">
      <c r="B104" s="175"/>
      <c r="C104" s="228"/>
      <c r="D104" s="175"/>
      <c r="F104" s="237"/>
    </row>
    <row r="105" spans="2:6" s="192" customFormat="1" x14ac:dyDescent="0.25">
      <c r="B105" s="175"/>
      <c r="C105" s="228"/>
      <c r="D105" s="175"/>
      <c r="F105" s="237"/>
    </row>
    <row r="106" spans="2:6" s="192" customFormat="1" x14ac:dyDescent="0.25">
      <c r="B106" s="175"/>
      <c r="D106" s="175"/>
      <c r="F106" s="237"/>
    </row>
    <row r="107" spans="2:6" s="192" customFormat="1" x14ac:dyDescent="0.25">
      <c r="B107" s="175"/>
      <c r="C107" s="228"/>
      <c r="D107" s="175"/>
      <c r="F107" s="237"/>
    </row>
    <row r="108" spans="2:6" s="192" customFormat="1" x14ac:dyDescent="0.25">
      <c r="B108" s="175"/>
      <c r="C108" s="228"/>
      <c r="D108" s="175"/>
      <c r="F108" s="237"/>
    </row>
    <row r="109" spans="2:6" s="192" customFormat="1" x14ac:dyDescent="0.25">
      <c r="B109" s="175"/>
      <c r="C109" s="228"/>
      <c r="D109" s="175"/>
      <c r="F109" s="237"/>
    </row>
    <row r="110" spans="2:6" s="192" customFormat="1" x14ac:dyDescent="0.25">
      <c r="B110" s="175"/>
      <c r="C110" s="228"/>
      <c r="D110" s="175"/>
      <c r="F110" s="237"/>
    </row>
    <row r="111" spans="2:6" s="192" customFormat="1" x14ac:dyDescent="0.25">
      <c r="B111" s="175"/>
      <c r="C111" s="228"/>
      <c r="D111" s="175"/>
      <c r="F111" s="237"/>
    </row>
    <row r="112" spans="2:6" s="192" customFormat="1" x14ac:dyDescent="0.25">
      <c r="B112" s="175"/>
      <c r="D112" s="175"/>
      <c r="F112" s="237"/>
    </row>
    <row r="113" spans="2:6" s="192" customFormat="1" x14ac:dyDescent="0.25">
      <c r="B113" s="175"/>
      <c r="C113" s="228"/>
      <c r="D113" s="175"/>
      <c r="F113" s="237"/>
    </row>
    <row r="114" spans="2:6" s="192" customFormat="1" x14ac:dyDescent="0.25">
      <c r="B114" s="175"/>
      <c r="C114" s="228"/>
      <c r="D114" s="175"/>
      <c r="F114" s="237"/>
    </row>
    <row r="115" spans="2:6" s="192" customFormat="1" x14ac:dyDescent="0.25">
      <c r="B115" s="175"/>
      <c r="C115" s="228"/>
      <c r="D115" s="175"/>
      <c r="F115" s="237"/>
    </row>
    <row r="116" spans="2:6" s="192" customFormat="1" x14ac:dyDescent="0.25">
      <c r="B116" s="175"/>
      <c r="C116" s="228"/>
      <c r="D116" s="175"/>
      <c r="F116" s="237"/>
    </row>
    <row r="117" spans="2:6" s="192" customFormat="1" x14ac:dyDescent="0.25">
      <c r="B117" s="175"/>
      <c r="C117" s="228"/>
      <c r="D117" s="175"/>
      <c r="F117" s="237"/>
    </row>
    <row r="118" spans="2:6" s="192" customFormat="1" x14ac:dyDescent="0.25">
      <c r="B118" s="175"/>
      <c r="D118" s="175"/>
      <c r="F118" s="237"/>
    </row>
    <row r="119" spans="2:6" s="192" customFormat="1" x14ac:dyDescent="0.25">
      <c r="B119" s="175"/>
      <c r="D119" s="175"/>
      <c r="F119" s="237"/>
    </row>
    <row r="120" spans="2:6" s="192" customFormat="1" x14ac:dyDescent="0.25">
      <c r="B120" s="175"/>
      <c r="C120" s="228"/>
      <c r="D120" s="175"/>
      <c r="F120" s="237"/>
    </row>
    <row r="121" spans="2:6" s="192" customFormat="1" x14ac:dyDescent="0.25">
      <c r="B121" s="175"/>
      <c r="C121" s="228"/>
      <c r="D121" s="175"/>
      <c r="F121" s="237"/>
    </row>
    <row r="122" spans="2:6" s="192" customFormat="1" x14ac:dyDescent="0.25">
      <c r="B122" s="175"/>
      <c r="C122" s="228"/>
      <c r="D122" s="175"/>
      <c r="F122" s="237"/>
    </row>
    <row r="123" spans="2:6" s="192" customFormat="1" x14ac:dyDescent="0.25">
      <c r="B123" s="175"/>
      <c r="C123" s="228"/>
      <c r="D123" s="175"/>
      <c r="F123" s="237"/>
    </row>
    <row r="124" spans="2:6" s="192" customFormat="1" x14ac:dyDescent="0.25">
      <c r="B124" s="175"/>
      <c r="C124" s="228"/>
      <c r="D124" s="175"/>
      <c r="F124" s="237"/>
    </row>
    <row r="125" spans="2:6" s="192" customFormat="1" x14ac:dyDescent="0.25">
      <c r="B125" s="175"/>
      <c r="D125" s="175"/>
      <c r="F125" s="237"/>
    </row>
    <row r="126" spans="2:6" s="192" customFormat="1" x14ac:dyDescent="0.25">
      <c r="B126" s="175"/>
      <c r="C126" s="228"/>
      <c r="D126" s="175"/>
      <c r="F126" s="237"/>
    </row>
    <row r="127" spans="2:6" s="192" customFormat="1" x14ac:dyDescent="0.25">
      <c r="B127" s="175"/>
      <c r="C127" s="228"/>
      <c r="D127" s="175"/>
      <c r="F127" s="237"/>
    </row>
    <row r="128" spans="2:6" s="192" customFormat="1" x14ac:dyDescent="0.25">
      <c r="B128" s="175"/>
      <c r="C128" s="228"/>
      <c r="D128" s="175"/>
      <c r="F128" s="237"/>
    </row>
    <row r="129" spans="2:6" s="192" customFormat="1" x14ac:dyDescent="0.25">
      <c r="B129" s="175"/>
      <c r="C129" s="228"/>
      <c r="D129" s="175"/>
      <c r="F129" s="237"/>
    </row>
    <row r="130" spans="2:6" s="192" customFormat="1" x14ac:dyDescent="0.25">
      <c r="B130" s="175"/>
      <c r="C130" s="228"/>
      <c r="D130" s="175"/>
      <c r="F130" s="237"/>
    </row>
    <row r="131" spans="2:6" s="192" customFormat="1" x14ac:dyDescent="0.25">
      <c r="B131" s="175"/>
      <c r="D131" s="175"/>
      <c r="F131" s="237"/>
    </row>
    <row r="132" spans="2:6" s="192" customFormat="1" x14ac:dyDescent="0.25">
      <c r="B132" s="175"/>
      <c r="C132" s="228"/>
      <c r="D132" s="175"/>
      <c r="F132" s="237"/>
    </row>
    <row r="133" spans="2:6" s="192" customFormat="1" x14ac:dyDescent="0.25">
      <c r="B133" s="175"/>
      <c r="C133" s="228"/>
      <c r="D133" s="175"/>
      <c r="F133" s="237"/>
    </row>
    <row r="134" spans="2:6" s="192" customFormat="1" x14ac:dyDescent="0.25">
      <c r="B134" s="175"/>
      <c r="C134" s="228"/>
      <c r="D134" s="175"/>
      <c r="F134" s="237"/>
    </row>
    <row r="135" spans="2:6" s="192" customFormat="1" x14ac:dyDescent="0.25">
      <c r="B135" s="175"/>
      <c r="C135" s="228"/>
      <c r="D135" s="175"/>
      <c r="F135" s="237"/>
    </row>
    <row r="136" spans="2:6" s="192" customFormat="1" x14ac:dyDescent="0.25">
      <c r="B136" s="175"/>
      <c r="C136" s="228"/>
      <c r="D136" s="175"/>
      <c r="F136" s="237"/>
    </row>
    <row r="137" spans="2:6" s="192" customFormat="1" x14ac:dyDescent="0.25">
      <c r="B137" s="175"/>
      <c r="D137" s="175"/>
      <c r="F137" s="237"/>
    </row>
    <row r="138" spans="2:6" s="192" customFormat="1" x14ac:dyDescent="0.25">
      <c r="B138" s="175"/>
      <c r="C138" s="228"/>
      <c r="D138" s="175"/>
      <c r="F138" s="237"/>
    </row>
    <row r="139" spans="2:6" s="192" customFormat="1" x14ac:dyDescent="0.25">
      <c r="B139" s="175"/>
      <c r="C139" s="228"/>
      <c r="D139" s="175"/>
      <c r="F139" s="237"/>
    </row>
    <row r="140" spans="2:6" s="192" customFormat="1" x14ac:dyDescent="0.25">
      <c r="B140" s="175"/>
      <c r="C140" s="228"/>
      <c r="D140" s="175"/>
      <c r="F140" s="237"/>
    </row>
    <row r="141" spans="2:6" s="192" customFormat="1" x14ac:dyDescent="0.25">
      <c r="B141" s="175"/>
      <c r="C141" s="228"/>
      <c r="D141" s="175"/>
      <c r="F141" s="237"/>
    </row>
    <row r="142" spans="2:6" s="192" customFormat="1" x14ac:dyDescent="0.25">
      <c r="B142" s="175"/>
      <c r="C142" s="228"/>
      <c r="D142" s="175"/>
      <c r="F142" s="237"/>
    </row>
    <row r="143" spans="2:6" s="192" customFormat="1" x14ac:dyDescent="0.25">
      <c r="B143" s="175"/>
      <c r="D143" s="175"/>
      <c r="F143" s="237"/>
    </row>
    <row r="144" spans="2:6" s="192" customFormat="1" x14ac:dyDescent="0.25">
      <c r="B144" s="175"/>
      <c r="C144" s="228"/>
      <c r="D144" s="175"/>
      <c r="F144" s="237"/>
    </row>
    <row r="145" spans="2:6" s="192" customFormat="1" x14ac:dyDescent="0.25">
      <c r="B145" s="175"/>
      <c r="C145" s="228"/>
      <c r="D145" s="175"/>
      <c r="F145" s="237"/>
    </row>
    <row r="146" spans="2:6" s="192" customFormat="1" x14ac:dyDescent="0.25">
      <c r="B146" s="175"/>
      <c r="C146" s="228"/>
      <c r="D146" s="175"/>
      <c r="F146" s="237"/>
    </row>
    <row r="147" spans="2:6" s="192" customFormat="1" x14ac:dyDescent="0.25">
      <c r="B147" s="175"/>
      <c r="C147" s="228"/>
      <c r="D147" s="175"/>
      <c r="F147" s="237"/>
    </row>
    <row r="148" spans="2:6" s="192" customFormat="1" x14ac:dyDescent="0.25">
      <c r="B148" s="175"/>
      <c r="C148" s="228"/>
      <c r="D148" s="175"/>
      <c r="F148" s="237"/>
    </row>
    <row r="149" spans="2:6" s="192" customFormat="1" x14ac:dyDescent="0.25">
      <c r="B149" s="175"/>
      <c r="D149" s="175"/>
      <c r="F149" s="237"/>
    </row>
    <row r="150" spans="2:6" s="192" customFormat="1" x14ac:dyDescent="0.25">
      <c r="B150" s="175"/>
      <c r="C150" s="228"/>
      <c r="D150" s="175"/>
      <c r="F150" s="237"/>
    </row>
    <row r="151" spans="2:6" s="192" customFormat="1" x14ac:dyDescent="0.25">
      <c r="B151" s="175"/>
      <c r="C151" s="228"/>
      <c r="D151" s="175"/>
      <c r="F151" s="237"/>
    </row>
    <row r="152" spans="2:6" s="192" customFormat="1" x14ac:dyDescent="0.25">
      <c r="B152" s="175"/>
      <c r="C152" s="228"/>
      <c r="D152" s="175"/>
      <c r="F152" s="237"/>
    </row>
    <row r="153" spans="2:6" s="192" customFormat="1" x14ac:dyDescent="0.25">
      <c r="B153" s="175"/>
      <c r="C153" s="228"/>
      <c r="D153" s="175"/>
      <c r="F153" s="237"/>
    </row>
    <row r="154" spans="2:6" s="192" customFormat="1" x14ac:dyDescent="0.25">
      <c r="B154" s="175"/>
      <c r="C154" s="228"/>
      <c r="D154" s="175"/>
      <c r="F154" s="237"/>
    </row>
    <row r="155" spans="2:6" s="192" customFormat="1" x14ac:dyDescent="0.25">
      <c r="B155" s="175"/>
      <c r="D155" s="175"/>
      <c r="F155" s="237"/>
    </row>
    <row r="156" spans="2:6" s="192" customFormat="1" x14ac:dyDescent="0.25">
      <c r="B156" s="175"/>
      <c r="D156" s="175"/>
      <c r="F156" s="237"/>
    </row>
    <row r="157" spans="2:6" s="192" customFormat="1" x14ac:dyDescent="0.25">
      <c r="B157" s="175"/>
      <c r="C157" s="228"/>
      <c r="D157" s="175"/>
      <c r="F157" s="237"/>
    </row>
    <row r="158" spans="2:6" s="192" customFormat="1" x14ac:dyDescent="0.25">
      <c r="C158" s="228"/>
      <c r="D158" s="175"/>
      <c r="F158" s="237"/>
    </row>
    <row r="159" spans="2:6" s="192" customFormat="1" x14ac:dyDescent="0.25">
      <c r="C159" s="228"/>
      <c r="D159" s="175"/>
      <c r="F159" s="237"/>
    </row>
    <row r="160" spans="2:6" s="192" customFormat="1" x14ac:dyDescent="0.25">
      <c r="C160" s="228"/>
      <c r="D160" s="175"/>
      <c r="F160" s="237"/>
    </row>
    <row r="161" spans="3:6" s="192" customFormat="1" x14ac:dyDescent="0.25">
      <c r="C161" s="228"/>
      <c r="D161" s="175"/>
      <c r="F161" s="237"/>
    </row>
    <row r="162" spans="3:6" s="192" customFormat="1" x14ac:dyDescent="0.25">
      <c r="D162" s="175"/>
      <c r="F162" s="237"/>
    </row>
    <row r="163" spans="3:6" s="192" customFormat="1" x14ac:dyDescent="0.25">
      <c r="C163" s="228"/>
      <c r="D163" s="175"/>
      <c r="F163" s="237"/>
    </row>
    <row r="164" spans="3:6" s="192" customFormat="1" x14ac:dyDescent="0.25">
      <c r="C164" s="228"/>
      <c r="D164" s="175"/>
      <c r="F164" s="237"/>
    </row>
    <row r="165" spans="3:6" s="192" customFormat="1" x14ac:dyDescent="0.25">
      <c r="C165" s="228"/>
      <c r="D165" s="175"/>
      <c r="F165" s="237"/>
    </row>
    <row r="166" spans="3:6" s="192" customFormat="1" x14ac:dyDescent="0.25">
      <c r="C166" s="228"/>
      <c r="D166" s="175"/>
      <c r="F166" s="237"/>
    </row>
    <row r="167" spans="3:6" s="192" customFormat="1" x14ac:dyDescent="0.25">
      <c r="C167" s="228"/>
      <c r="D167" s="175"/>
      <c r="F167" s="237"/>
    </row>
    <row r="168" spans="3:6" s="192" customFormat="1" x14ac:dyDescent="0.25">
      <c r="D168" s="175"/>
      <c r="F168" s="237"/>
    </row>
    <row r="169" spans="3:6" s="192" customFormat="1" x14ac:dyDescent="0.25">
      <c r="C169" s="228"/>
      <c r="D169" s="175"/>
      <c r="F169" s="237"/>
    </row>
    <row r="170" spans="3:6" s="192" customFormat="1" x14ac:dyDescent="0.25">
      <c r="C170" s="228"/>
      <c r="D170" s="175"/>
      <c r="F170" s="237"/>
    </row>
    <row r="171" spans="3:6" s="192" customFormat="1" x14ac:dyDescent="0.25">
      <c r="C171" s="228"/>
      <c r="D171" s="175"/>
      <c r="F171" s="237"/>
    </row>
    <row r="172" spans="3:6" s="192" customFormat="1" x14ac:dyDescent="0.25">
      <c r="C172" s="228"/>
      <c r="D172" s="175"/>
      <c r="F172" s="237"/>
    </row>
    <row r="173" spans="3:6" s="192" customFormat="1" x14ac:dyDescent="0.25">
      <c r="C173" s="228"/>
      <c r="D173" s="175"/>
      <c r="F173" s="237"/>
    </row>
    <row r="174" spans="3:6" s="192" customFormat="1" x14ac:dyDescent="0.25">
      <c r="D174" s="175"/>
      <c r="F174" s="237"/>
    </row>
    <row r="175" spans="3:6" s="192" customFormat="1" x14ac:dyDescent="0.25">
      <c r="C175" s="228"/>
      <c r="D175" s="175"/>
      <c r="F175" s="237"/>
    </row>
    <row r="176" spans="3:6" s="192" customFormat="1" x14ac:dyDescent="0.25">
      <c r="C176" s="228"/>
      <c r="D176" s="175"/>
      <c r="F176" s="237"/>
    </row>
    <row r="177" spans="3:6" s="192" customFormat="1" x14ac:dyDescent="0.25">
      <c r="C177" s="228"/>
      <c r="D177" s="175"/>
      <c r="F177" s="237"/>
    </row>
    <row r="178" spans="3:6" s="192" customFormat="1" x14ac:dyDescent="0.25">
      <c r="C178" s="228"/>
      <c r="D178" s="175"/>
      <c r="F178" s="237"/>
    </row>
    <row r="179" spans="3:6" s="192" customFormat="1" x14ac:dyDescent="0.25">
      <c r="C179" s="228"/>
      <c r="D179" s="175"/>
      <c r="F179" s="237"/>
    </row>
    <row r="180" spans="3:6" s="192" customFormat="1" x14ac:dyDescent="0.25">
      <c r="D180" s="175"/>
      <c r="F180" s="237"/>
    </row>
    <row r="181" spans="3:6" s="192" customFormat="1" x14ac:dyDescent="0.25">
      <c r="C181" s="228"/>
      <c r="D181" s="175"/>
      <c r="F181" s="237"/>
    </row>
    <row r="182" spans="3:6" s="192" customFormat="1" x14ac:dyDescent="0.25">
      <c r="C182" s="228"/>
      <c r="D182" s="175"/>
      <c r="F182" s="237"/>
    </row>
    <row r="183" spans="3:6" s="192" customFormat="1" x14ac:dyDescent="0.25">
      <c r="C183" s="228"/>
      <c r="D183" s="175"/>
      <c r="F183" s="237"/>
    </row>
    <row r="184" spans="3:6" s="192" customFormat="1" x14ac:dyDescent="0.25">
      <c r="C184" s="228"/>
      <c r="D184" s="175"/>
      <c r="F184" s="237"/>
    </row>
    <row r="185" spans="3:6" s="192" customFormat="1" x14ac:dyDescent="0.25">
      <c r="C185" s="228"/>
      <c r="D185" s="175"/>
      <c r="F185" s="237"/>
    </row>
    <row r="186" spans="3:6" s="192" customFormat="1" x14ac:dyDescent="0.25">
      <c r="D186" s="175"/>
      <c r="F186" s="237"/>
    </row>
    <row r="187" spans="3:6" s="192" customFormat="1" x14ac:dyDescent="0.25">
      <c r="C187" s="228"/>
      <c r="D187" s="175"/>
      <c r="F187" s="237"/>
    </row>
    <row r="188" spans="3:6" s="192" customFormat="1" x14ac:dyDescent="0.25">
      <c r="C188" s="228"/>
      <c r="D188" s="175"/>
      <c r="F188" s="237"/>
    </row>
    <row r="189" spans="3:6" s="192" customFormat="1" x14ac:dyDescent="0.25">
      <c r="C189" s="228"/>
      <c r="D189" s="175"/>
      <c r="F189" s="237"/>
    </row>
    <row r="190" spans="3:6" s="192" customFormat="1" x14ac:dyDescent="0.25">
      <c r="C190" s="228"/>
      <c r="D190" s="175"/>
      <c r="F190" s="237"/>
    </row>
    <row r="191" spans="3:6" s="192" customFormat="1" x14ac:dyDescent="0.25">
      <c r="C191" s="228"/>
      <c r="D191" s="175"/>
      <c r="F191" s="237"/>
    </row>
    <row r="192" spans="3:6" s="192" customFormat="1" x14ac:dyDescent="0.25">
      <c r="D192" s="175"/>
      <c r="F192" s="237"/>
    </row>
    <row r="193" spans="3:6" s="192" customFormat="1" x14ac:dyDescent="0.25">
      <c r="D193" s="175"/>
      <c r="F193" s="237"/>
    </row>
    <row r="194" spans="3:6" s="192" customFormat="1" x14ac:dyDescent="0.25">
      <c r="C194" s="228"/>
      <c r="D194" s="175"/>
      <c r="F194" s="237"/>
    </row>
    <row r="195" spans="3:6" s="192" customFormat="1" x14ac:dyDescent="0.25">
      <c r="C195" s="228"/>
      <c r="D195" s="175"/>
      <c r="F195" s="237"/>
    </row>
    <row r="196" spans="3:6" s="192" customFormat="1" x14ac:dyDescent="0.25">
      <c r="C196" s="228"/>
      <c r="D196" s="175"/>
      <c r="F196" s="237"/>
    </row>
    <row r="197" spans="3:6" s="192" customFormat="1" x14ac:dyDescent="0.25">
      <c r="C197" s="228"/>
      <c r="D197" s="175"/>
      <c r="F197" s="237"/>
    </row>
    <row r="198" spans="3:6" s="192" customFormat="1" x14ac:dyDescent="0.25">
      <c r="C198" s="228"/>
      <c r="D198" s="175"/>
      <c r="F198" s="237"/>
    </row>
    <row r="199" spans="3:6" s="192" customFormat="1" x14ac:dyDescent="0.25">
      <c r="D199" s="175"/>
      <c r="F199" s="237"/>
    </row>
    <row r="200" spans="3:6" s="192" customFormat="1" x14ac:dyDescent="0.25">
      <c r="C200" s="228"/>
      <c r="D200" s="175"/>
      <c r="F200" s="237"/>
    </row>
    <row r="201" spans="3:6" s="192" customFormat="1" x14ac:dyDescent="0.25">
      <c r="C201" s="228"/>
      <c r="D201" s="175"/>
      <c r="F201" s="237"/>
    </row>
    <row r="202" spans="3:6" s="192" customFormat="1" x14ac:dyDescent="0.25">
      <c r="C202" s="228"/>
      <c r="D202" s="175"/>
      <c r="F202" s="237"/>
    </row>
    <row r="203" spans="3:6" s="192" customFormat="1" x14ac:dyDescent="0.25">
      <c r="C203" s="228"/>
      <c r="D203" s="175"/>
      <c r="F203" s="237"/>
    </row>
    <row r="204" spans="3:6" s="192" customFormat="1" x14ac:dyDescent="0.25">
      <c r="C204" s="228"/>
      <c r="D204" s="175"/>
      <c r="F204" s="237"/>
    </row>
    <row r="205" spans="3:6" s="192" customFormat="1" x14ac:dyDescent="0.25">
      <c r="D205" s="175"/>
      <c r="F205" s="237"/>
    </row>
    <row r="206" spans="3:6" s="192" customFormat="1" x14ac:dyDescent="0.25">
      <c r="C206" s="228"/>
      <c r="D206" s="175"/>
      <c r="F206" s="237"/>
    </row>
    <row r="207" spans="3:6" s="192" customFormat="1" x14ac:dyDescent="0.25">
      <c r="C207" s="228"/>
      <c r="D207" s="175"/>
      <c r="F207" s="237"/>
    </row>
    <row r="208" spans="3:6" s="192" customFormat="1" x14ac:dyDescent="0.25">
      <c r="C208" s="228"/>
      <c r="D208" s="175"/>
      <c r="F208" s="237"/>
    </row>
    <row r="209" spans="3:6" s="192" customFormat="1" x14ac:dyDescent="0.25">
      <c r="C209" s="228"/>
      <c r="D209" s="175"/>
      <c r="F209" s="237"/>
    </row>
    <row r="210" spans="3:6" s="192" customFormat="1" x14ac:dyDescent="0.25">
      <c r="C210" s="228"/>
      <c r="D210" s="175"/>
      <c r="F210" s="237"/>
    </row>
    <row r="211" spans="3:6" s="192" customFormat="1" x14ac:dyDescent="0.25">
      <c r="D211" s="175"/>
      <c r="F211" s="237"/>
    </row>
    <row r="212" spans="3:6" s="192" customFormat="1" x14ac:dyDescent="0.25">
      <c r="C212" s="228"/>
      <c r="D212" s="175"/>
      <c r="F212" s="237"/>
    </row>
    <row r="213" spans="3:6" s="192" customFormat="1" x14ac:dyDescent="0.25">
      <c r="C213" s="228"/>
      <c r="D213" s="175"/>
      <c r="F213" s="237"/>
    </row>
    <row r="214" spans="3:6" s="192" customFormat="1" x14ac:dyDescent="0.25">
      <c r="C214" s="228"/>
      <c r="D214" s="175"/>
      <c r="F214" s="237"/>
    </row>
    <row r="215" spans="3:6" s="192" customFormat="1" x14ac:dyDescent="0.25">
      <c r="C215" s="228"/>
      <c r="D215" s="175"/>
      <c r="F215" s="237"/>
    </row>
    <row r="216" spans="3:6" s="192" customFormat="1" x14ac:dyDescent="0.25">
      <c r="C216" s="228"/>
      <c r="D216" s="175"/>
      <c r="F216" s="237"/>
    </row>
    <row r="217" spans="3:6" s="192" customFormat="1" x14ac:dyDescent="0.25">
      <c r="D217" s="175"/>
      <c r="F217" s="237"/>
    </row>
    <row r="218" spans="3:6" s="192" customFormat="1" x14ac:dyDescent="0.25">
      <c r="C218" s="228"/>
      <c r="D218" s="175"/>
      <c r="F218" s="237"/>
    </row>
    <row r="219" spans="3:6" s="192" customFormat="1" x14ac:dyDescent="0.25">
      <c r="C219" s="228"/>
      <c r="D219" s="175"/>
      <c r="F219" s="237"/>
    </row>
    <row r="220" spans="3:6" s="192" customFormat="1" x14ac:dyDescent="0.25">
      <c r="C220" s="228"/>
      <c r="D220" s="175"/>
      <c r="F220" s="237"/>
    </row>
    <row r="221" spans="3:6" s="192" customFormat="1" x14ac:dyDescent="0.25">
      <c r="C221" s="228"/>
      <c r="D221" s="175"/>
      <c r="F221" s="237"/>
    </row>
    <row r="222" spans="3:6" s="192" customFormat="1" x14ac:dyDescent="0.25">
      <c r="C222" s="228"/>
      <c r="D222" s="175"/>
      <c r="F222" s="237"/>
    </row>
    <row r="223" spans="3:6" s="192" customFormat="1" x14ac:dyDescent="0.25">
      <c r="D223" s="175"/>
      <c r="F223" s="237"/>
    </row>
    <row r="224" spans="3:6" s="192" customFormat="1" x14ac:dyDescent="0.25">
      <c r="C224" s="228"/>
      <c r="D224" s="175"/>
      <c r="F224" s="237"/>
    </row>
    <row r="225" spans="3:6" s="192" customFormat="1" x14ac:dyDescent="0.25">
      <c r="C225" s="228"/>
      <c r="D225" s="175"/>
      <c r="F225" s="237"/>
    </row>
    <row r="226" spans="3:6" s="192" customFormat="1" x14ac:dyDescent="0.25">
      <c r="C226" s="228"/>
      <c r="D226" s="175"/>
      <c r="F226" s="237"/>
    </row>
    <row r="227" spans="3:6" s="192" customFormat="1" x14ac:dyDescent="0.25">
      <c r="C227" s="228"/>
      <c r="D227" s="175"/>
      <c r="F227" s="237"/>
    </row>
    <row r="228" spans="3:6" s="192" customFormat="1" x14ac:dyDescent="0.25">
      <c r="C228" s="228"/>
      <c r="D228" s="175"/>
      <c r="F228" s="237"/>
    </row>
    <row r="229" spans="3:6" s="192" customFormat="1" x14ac:dyDescent="0.25">
      <c r="D229" s="175"/>
      <c r="F229" s="237"/>
    </row>
    <row r="230" spans="3:6" s="192" customFormat="1" x14ac:dyDescent="0.25">
      <c r="C230" s="228"/>
      <c r="D230" s="175"/>
      <c r="F230" s="237"/>
    </row>
    <row r="231" spans="3:6" s="192" customFormat="1" x14ac:dyDescent="0.25">
      <c r="C231" s="228"/>
      <c r="D231" s="175"/>
      <c r="F231" s="237"/>
    </row>
    <row r="232" spans="3:6" s="192" customFormat="1" x14ac:dyDescent="0.25">
      <c r="C232" s="228"/>
      <c r="D232" s="175"/>
      <c r="F232" s="237"/>
    </row>
    <row r="233" spans="3:6" s="192" customFormat="1" x14ac:dyDescent="0.25">
      <c r="C233" s="228"/>
      <c r="D233" s="175"/>
      <c r="F233" s="237"/>
    </row>
    <row r="234" spans="3:6" s="192" customFormat="1" x14ac:dyDescent="0.25">
      <c r="C234" s="228"/>
      <c r="D234" s="175"/>
      <c r="F234" s="237"/>
    </row>
    <row r="235" spans="3:6" s="192" customFormat="1" x14ac:dyDescent="0.25">
      <c r="D235" s="175"/>
      <c r="F235" s="237"/>
    </row>
    <row r="236" spans="3:6" s="192" customFormat="1" x14ac:dyDescent="0.25">
      <c r="C236" s="228"/>
      <c r="D236" s="175"/>
      <c r="F236" s="237"/>
    </row>
    <row r="237" spans="3:6" s="192" customFormat="1" x14ac:dyDescent="0.25">
      <c r="C237" s="228"/>
      <c r="D237" s="175"/>
      <c r="F237" s="237"/>
    </row>
    <row r="238" spans="3:6" s="192" customFormat="1" x14ac:dyDescent="0.25">
      <c r="C238" s="228"/>
      <c r="D238" s="175"/>
      <c r="F238" s="237"/>
    </row>
    <row r="239" spans="3:6" s="192" customFormat="1" x14ac:dyDescent="0.25">
      <c r="C239" s="228"/>
      <c r="D239" s="175"/>
      <c r="F239" s="237"/>
    </row>
    <row r="240" spans="3:6" s="192" customFormat="1" x14ac:dyDescent="0.25">
      <c r="C240" s="228"/>
      <c r="D240" s="175"/>
      <c r="F240" s="237"/>
    </row>
    <row r="241" spans="3:6" s="192" customFormat="1" x14ac:dyDescent="0.25">
      <c r="D241" s="175"/>
      <c r="F241" s="237"/>
    </row>
    <row r="242" spans="3:6" s="192" customFormat="1" x14ac:dyDescent="0.25">
      <c r="D242" s="175"/>
      <c r="F242" s="237"/>
    </row>
    <row r="243" spans="3:6" s="192" customFormat="1" x14ac:dyDescent="0.25">
      <c r="C243" s="228"/>
      <c r="D243" s="175"/>
      <c r="F243" s="237"/>
    </row>
    <row r="244" spans="3:6" s="192" customFormat="1" x14ac:dyDescent="0.25">
      <c r="C244" s="228"/>
      <c r="D244" s="175"/>
      <c r="F244" s="237"/>
    </row>
    <row r="245" spans="3:6" s="192" customFormat="1" x14ac:dyDescent="0.25">
      <c r="C245" s="228"/>
      <c r="D245" s="175"/>
      <c r="F245" s="237"/>
    </row>
    <row r="246" spans="3:6" s="192" customFormat="1" x14ac:dyDescent="0.25">
      <c r="C246" s="228"/>
      <c r="D246" s="175"/>
      <c r="F246" s="237"/>
    </row>
    <row r="247" spans="3:6" s="192" customFormat="1" x14ac:dyDescent="0.25">
      <c r="C247" s="228"/>
      <c r="D247" s="175"/>
      <c r="F247" s="237"/>
    </row>
    <row r="248" spans="3:6" s="192" customFormat="1" x14ac:dyDescent="0.25">
      <c r="D248" s="175"/>
      <c r="F248" s="237"/>
    </row>
    <row r="249" spans="3:6" s="192" customFormat="1" x14ac:dyDescent="0.25">
      <c r="C249" s="228"/>
      <c r="D249" s="175"/>
      <c r="F249" s="237"/>
    </row>
    <row r="250" spans="3:6" s="192" customFormat="1" x14ac:dyDescent="0.25">
      <c r="C250" s="228"/>
      <c r="D250" s="175"/>
      <c r="F250" s="237"/>
    </row>
    <row r="251" spans="3:6" s="192" customFormat="1" x14ac:dyDescent="0.25">
      <c r="C251" s="228"/>
      <c r="D251" s="175"/>
      <c r="F251" s="237"/>
    </row>
    <row r="252" spans="3:6" s="192" customFormat="1" x14ac:dyDescent="0.25">
      <c r="C252" s="228"/>
      <c r="D252" s="175"/>
      <c r="F252" s="237"/>
    </row>
    <row r="253" spans="3:6" s="192" customFormat="1" x14ac:dyDescent="0.25">
      <c r="C253" s="228"/>
      <c r="D253" s="175"/>
      <c r="F253" s="237"/>
    </row>
    <row r="254" spans="3:6" s="192" customFormat="1" x14ac:dyDescent="0.25">
      <c r="D254" s="175"/>
      <c r="F254" s="237"/>
    </row>
    <row r="255" spans="3:6" s="192" customFormat="1" x14ac:dyDescent="0.25">
      <c r="C255" s="228"/>
      <c r="D255" s="175"/>
      <c r="F255" s="237"/>
    </row>
    <row r="256" spans="3:6" s="192" customFormat="1" x14ac:dyDescent="0.25">
      <c r="C256" s="228"/>
      <c r="D256" s="175"/>
      <c r="F256" s="237"/>
    </row>
    <row r="257" spans="3:6" s="192" customFormat="1" x14ac:dyDescent="0.25">
      <c r="C257" s="228"/>
      <c r="D257" s="175"/>
      <c r="F257" s="237"/>
    </row>
    <row r="258" spans="3:6" s="192" customFormat="1" x14ac:dyDescent="0.25">
      <c r="C258" s="228"/>
      <c r="D258" s="175"/>
      <c r="F258" s="237"/>
    </row>
    <row r="259" spans="3:6" s="192" customFormat="1" x14ac:dyDescent="0.25">
      <c r="C259" s="228"/>
      <c r="D259" s="175"/>
      <c r="F259" s="237"/>
    </row>
    <row r="260" spans="3:6" s="192" customFormat="1" x14ac:dyDescent="0.25">
      <c r="D260" s="175"/>
      <c r="F260" s="237"/>
    </row>
    <row r="261" spans="3:6" s="192" customFormat="1" x14ac:dyDescent="0.25">
      <c r="C261" s="228"/>
      <c r="D261" s="175"/>
      <c r="F261" s="237"/>
    </row>
    <row r="262" spans="3:6" s="192" customFormat="1" x14ac:dyDescent="0.25">
      <c r="C262" s="228"/>
      <c r="D262" s="175"/>
      <c r="F262" s="237"/>
    </row>
    <row r="263" spans="3:6" s="192" customFormat="1" x14ac:dyDescent="0.25">
      <c r="C263" s="228"/>
      <c r="D263" s="175"/>
      <c r="F263" s="237"/>
    </row>
    <row r="264" spans="3:6" s="192" customFormat="1" x14ac:dyDescent="0.25">
      <c r="C264" s="228"/>
      <c r="D264" s="175"/>
      <c r="F264" s="237"/>
    </row>
    <row r="265" spans="3:6" s="192" customFormat="1" x14ac:dyDescent="0.25">
      <c r="C265" s="228"/>
      <c r="D265" s="175"/>
      <c r="F265" s="237"/>
    </row>
    <row r="266" spans="3:6" s="192" customFormat="1" x14ac:dyDescent="0.25">
      <c r="D266" s="175"/>
      <c r="F266" s="237"/>
    </row>
    <row r="267" spans="3:6" s="192" customFormat="1" x14ac:dyDescent="0.25">
      <c r="C267" s="228"/>
      <c r="D267" s="175"/>
      <c r="F267" s="237"/>
    </row>
    <row r="268" spans="3:6" s="192" customFormat="1" x14ac:dyDescent="0.25">
      <c r="C268" s="228"/>
      <c r="D268" s="175"/>
      <c r="F268" s="237"/>
    </row>
    <row r="269" spans="3:6" s="192" customFormat="1" x14ac:dyDescent="0.25">
      <c r="C269" s="228"/>
      <c r="D269" s="175"/>
      <c r="F269" s="237"/>
    </row>
    <row r="270" spans="3:6" s="192" customFormat="1" x14ac:dyDescent="0.25">
      <c r="C270" s="228"/>
      <c r="D270" s="175"/>
      <c r="F270" s="237"/>
    </row>
    <row r="271" spans="3:6" s="192" customFormat="1" x14ac:dyDescent="0.25">
      <c r="C271" s="228"/>
      <c r="D271" s="175"/>
      <c r="F271" s="237"/>
    </row>
    <row r="272" spans="3:6" s="192" customFormat="1" x14ac:dyDescent="0.25">
      <c r="D272" s="175"/>
      <c r="F272" s="237"/>
    </row>
    <row r="273" spans="3:6" s="192" customFormat="1" x14ac:dyDescent="0.25">
      <c r="C273" s="228"/>
      <c r="D273" s="175"/>
      <c r="F273" s="237"/>
    </row>
    <row r="274" spans="3:6" s="192" customFormat="1" x14ac:dyDescent="0.25">
      <c r="C274" s="228"/>
      <c r="D274" s="175"/>
      <c r="F274" s="237"/>
    </row>
    <row r="275" spans="3:6" s="192" customFormat="1" x14ac:dyDescent="0.25">
      <c r="C275" s="228"/>
      <c r="D275" s="175"/>
      <c r="F275" s="237"/>
    </row>
    <row r="276" spans="3:6" s="192" customFormat="1" x14ac:dyDescent="0.25">
      <c r="C276" s="228"/>
      <c r="D276" s="175"/>
      <c r="F276" s="237"/>
    </row>
    <row r="277" spans="3:6" s="192" customFormat="1" x14ac:dyDescent="0.25">
      <c r="C277" s="228"/>
      <c r="D277" s="175"/>
      <c r="F277" s="237"/>
    </row>
    <row r="278" spans="3:6" s="192" customFormat="1" x14ac:dyDescent="0.25">
      <c r="D278" s="175"/>
      <c r="F278" s="237"/>
    </row>
    <row r="279" spans="3:6" s="192" customFormat="1" x14ac:dyDescent="0.25">
      <c r="D279" s="175"/>
      <c r="F279" s="237"/>
    </row>
    <row r="280" spans="3:6" s="192" customFormat="1" x14ac:dyDescent="0.25">
      <c r="C280" s="228"/>
      <c r="D280" s="175"/>
      <c r="F280" s="237"/>
    </row>
    <row r="281" spans="3:6" s="192" customFormat="1" x14ac:dyDescent="0.25">
      <c r="C281" s="228"/>
      <c r="D281" s="175"/>
      <c r="F281" s="237"/>
    </row>
    <row r="282" spans="3:6" s="192" customFormat="1" x14ac:dyDescent="0.25">
      <c r="C282" s="228"/>
      <c r="D282" s="175"/>
      <c r="F282" s="237"/>
    </row>
    <row r="283" spans="3:6" s="192" customFormat="1" x14ac:dyDescent="0.25">
      <c r="C283" s="228"/>
      <c r="D283" s="175"/>
      <c r="F283" s="237"/>
    </row>
    <row r="284" spans="3:6" s="192" customFormat="1" x14ac:dyDescent="0.25">
      <c r="C284" s="228"/>
      <c r="D284" s="175"/>
      <c r="F284" s="237"/>
    </row>
    <row r="285" spans="3:6" s="192" customFormat="1" x14ac:dyDescent="0.25">
      <c r="D285" s="175"/>
      <c r="F285" s="237"/>
    </row>
    <row r="286" spans="3:6" s="192" customFormat="1" x14ac:dyDescent="0.25">
      <c r="C286" s="228"/>
      <c r="D286" s="175"/>
      <c r="F286" s="237"/>
    </row>
    <row r="287" spans="3:6" s="192" customFormat="1" x14ac:dyDescent="0.25">
      <c r="C287" s="228"/>
      <c r="D287" s="175"/>
      <c r="F287" s="237"/>
    </row>
    <row r="288" spans="3:6" s="192" customFormat="1" x14ac:dyDescent="0.25">
      <c r="C288" s="228"/>
      <c r="D288" s="175"/>
      <c r="F288" s="237"/>
    </row>
    <row r="289" spans="3:6" s="192" customFormat="1" x14ac:dyDescent="0.25">
      <c r="C289" s="228"/>
      <c r="D289" s="175"/>
      <c r="F289" s="237"/>
    </row>
    <row r="290" spans="3:6" s="192" customFormat="1" x14ac:dyDescent="0.25">
      <c r="C290" s="228"/>
      <c r="D290" s="175"/>
      <c r="F290" s="237"/>
    </row>
    <row r="291" spans="3:6" s="192" customFormat="1" x14ac:dyDescent="0.25">
      <c r="D291" s="175"/>
      <c r="F291" s="237"/>
    </row>
    <row r="292" spans="3:6" s="192" customFormat="1" x14ac:dyDescent="0.25">
      <c r="C292" s="228"/>
      <c r="D292" s="175"/>
      <c r="F292" s="237"/>
    </row>
    <row r="293" spans="3:6" s="192" customFormat="1" x14ac:dyDescent="0.25">
      <c r="C293" s="228"/>
      <c r="D293" s="175"/>
      <c r="F293" s="237"/>
    </row>
    <row r="294" spans="3:6" s="192" customFormat="1" x14ac:dyDescent="0.25">
      <c r="C294" s="228"/>
      <c r="D294" s="175"/>
      <c r="F294" s="237"/>
    </row>
    <row r="295" spans="3:6" s="192" customFormat="1" x14ac:dyDescent="0.25">
      <c r="C295" s="228"/>
      <c r="D295" s="175"/>
      <c r="F295" s="237"/>
    </row>
    <row r="296" spans="3:6" s="192" customFormat="1" x14ac:dyDescent="0.25">
      <c r="C296" s="228"/>
      <c r="D296" s="175"/>
      <c r="F296" s="237"/>
    </row>
    <row r="297" spans="3:6" s="192" customFormat="1" x14ac:dyDescent="0.25">
      <c r="D297" s="175"/>
      <c r="F297" s="237"/>
    </row>
    <row r="298" spans="3:6" s="192" customFormat="1" x14ac:dyDescent="0.25">
      <c r="C298" s="228"/>
      <c r="D298" s="175"/>
      <c r="F298" s="237"/>
    </row>
    <row r="299" spans="3:6" s="192" customFormat="1" x14ac:dyDescent="0.25">
      <c r="C299" s="228"/>
      <c r="D299" s="175"/>
      <c r="F299" s="237"/>
    </row>
    <row r="300" spans="3:6" s="192" customFormat="1" x14ac:dyDescent="0.25">
      <c r="C300" s="228"/>
      <c r="D300" s="175"/>
      <c r="F300" s="237"/>
    </row>
    <row r="301" spans="3:6" s="192" customFormat="1" x14ac:dyDescent="0.25">
      <c r="C301" s="228"/>
      <c r="D301" s="175"/>
      <c r="F301" s="237"/>
    </row>
    <row r="302" spans="3:6" s="192" customFormat="1" x14ac:dyDescent="0.25">
      <c r="C302" s="228"/>
      <c r="D302" s="175"/>
      <c r="F302" s="237"/>
    </row>
    <row r="303" spans="3:6" s="192" customFormat="1" x14ac:dyDescent="0.25">
      <c r="D303" s="175"/>
      <c r="F303" s="237"/>
    </row>
    <row r="304" spans="3:6" s="192" customFormat="1" x14ac:dyDescent="0.25">
      <c r="C304" s="228"/>
      <c r="D304" s="175"/>
      <c r="F304" s="237"/>
    </row>
    <row r="305" spans="3:6" s="192" customFormat="1" x14ac:dyDescent="0.25">
      <c r="C305" s="228"/>
      <c r="D305" s="175"/>
      <c r="F305" s="237"/>
    </row>
    <row r="306" spans="3:6" s="192" customFormat="1" x14ac:dyDescent="0.25">
      <c r="C306" s="228"/>
      <c r="D306" s="175"/>
      <c r="F306" s="237"/>
    </row>
    <row r="307" spans="3:6" s="192" customFormat="1" x14ac:dyDescent="0.25">
      <c r="C307" s="228"/>
      <c r="D307" s="175"/>
      <c r="F307" s="237"/>
    </row>
    <row r="308" spans="3:6" s="192" customFormat="1" x14ac:dyDescent="0.25">
      <c r="C308" s="228"/>
      <c r="D308" s="175"/>
      <c r="F308" s="237"/>
    </row>
    <row r="309" spans="3:6" s="192" customFormat="1" x14ac:dyDescent="0.25">
      <c r="D309" s="175"/>
      <c r="F309" s="237"/>
    </row>
    <row r="310" spans="3:6" s="192" customFormat="1" x14ac:dyDescent="0.25">
      <c r="C310" s="228"/>
      <c r="D310" s="175"/>
      <c r="F310" s="237"/>
    </row>
    <row r="311" spans="3:6" s="192" customFormat="1" x14ac:dyDescent="0.25">
      <c r="C311" s="228"/>
      <c r="D311" s="175"/>
      <c r="F311" s="237"/>
    </row>
    <row r="312" spans="3:6" s="192" customFormat="1" x14ac:dyDescent="0.25">
      <c r="C312" s="228"/>
      <c r="D312" s="175"/>
      <c r="F312" s="237"/>
    </row>
    <row r="313" spans="3:6" s="192" customFormat="1" x14ac:dyDescent="0.25">
      <c r="C313" s="228"/>
      <c r="D313" s="175"/>
      <c r="F313" s="237"/>
    </row>
    <row r="314" spans="3:6" s="192" customFormat="1" x14ac:dyDescent="0.25">
      <c r="C314" s="228"/>
      <c r="D314" s="175"/>
      <c r="F314" s="237"/>
    </row>
    <row r="315" spans="3:6" s="192" customFormat="1" x14ac:dyDescent="0.25">
      <c r="D315" s="175"/>
      <c r="F315" s="237"/>
    </row>
    <row r="316" spans="3:6" s="192" customFormat="1" x14ac:dyDescent="0.25">
      <c r="D316" s="175"/>
      <c r="F316" s="237"/>
    </row>
    <row r="317" spans="3:6" s="192" customFormat="1" x14ac:dyDescent="0.25">
      <c r="C317" s="228"/>
      <c r="D317" s="175"/>
      <c r="F317" s="237"/>
    </row>
    <row r="318" spans="3:6" s="192" customFormat="1" x14ac:dyDescent="0.25">
      <c r="C318" s="228"/>
      <c r="D318" s="175"/>
      <c r="F318" s="237"/>
    </row>
    <row r="319" spans="3:6" s="192" customFormat="1" x14ac:dyDescent="0.25">
      <c r="C319" s="228"/>
      <c r="D319" s="175"/>
      <c r="F319" s="237"/>
    </row>
    <row r="320" spans="3:6" s="192" customFormat="1" x14ac:dyDescent="0.25">
      <c r="C320" s="228"/>
      <c r="D320" s="175"/>
      <c r="F320" s="237"/>
    </row>
    <row r="321" spans="3:6" s="192" customFormat="1" x14ac:dyDescent="0.25">
      <c r="C321" s="228"/>
      <c r="D321" s="175"/>
      <c r="F321" s="237"/>
    </row>
    <row r="322" spans="3:6" s="192" customFormat="1" x14ac:dyDescent="0.25">
      <c r="D322" s="175"/>
      <c r="F322" s="237"/>
    </row>
    <row r="323" spans="3:6" s="192" customFormat="1" x14ac:dyDescent="0.25">
      <c r="C323" s="228"/>
      <c r="D323" s="175"/>
      <c r="F323" s="237"/>
    </row>
    <row r="324" spans="3:6" s="192" customFormat="1" x14ac:dyDescent="0.25">
      <c r="C324" s="228"/>
      <c r="D324" s="175"/>
      <c r="F324" s="237"/>
    </row>
    <row r="325" spans="3:6" s="192" customFormat="1" x14ac:dyDescent="0.25">
      <c r="C325" s="228"/>
      <c r="D325" s="175"/>
      <c r="F325" s="237"/>
    </row>
    <row r="326" spans="3:6" s="192" customFormat="1" x14ac:dyDescent="0.25">
      <c r="C326" s="228"/>
      <c r="D326" s="175"/>
      <c r="F326" s="237"/>
    </row>
    <row r="327" spans="3:6" s="192" customFormat="1" x14ac:dyDescent="0.25">
      <c r="C327" s="228"/>
      <c r="D327" s="175"/>
      <c r="F327" s="237"/>
    </row>
    <row r="328" spans="3:6" s="192" customFormat="1" x14ac:dyDescent="0.25">
      <c r="D328" s="175"/>
      <c r="F328" s="237"/>
    </row>
    <row r="329" spans="3:6" s="192" customFormat="1" x14ac:dyDescent="0.25">
      <c r="C329" s="228"/>
      <c r="D329" s="175"/>
      <c r="F329" s="237"/>
    </row>
    <row r="330" spans="3:6" s="192" customFormat="1" x14ac:dyDescent="0.25">
      <c r="C330" s="228"/>
      <c r="D330" s="175"/>
      <c r="F330" s="237"/>
    </row>
    <row r="331" spans="3:6" s="192" customFormat="1" x14ac:dyDescent="0.25">
      <c r="C331" s="228"/>
      <c r="D331" s="175"/>
      <c r="F331" s="237"/>
    </row>
    <row r="332" spans="3:6" s="192" customFormat="1" x14ac:dyDescent="0.25">
      <c r="C332" s="228"/>
      <c r="D332" s="175"/>
      <c r="F332" s="237"/>
    </row>
    <row r="333" spans="3:6" s="192" customFormat="1" x14ac:dyDescent="0.25">
      <c r="C333" s="228"/>
      <c r="D333" s="175"/>
      <c r="F333" s="237"/>
    </row>
    <row r="334" spans="3:6" s="192" customFormat="1" x14ac:dyDescent="0.25">
      <c r="D334" s="175"/>
      <c r="F334" s="237"/>
    </row>
    <row r="335" spans="3:6" s="192" customFormat="1" x14ac:dyDescent="0.25">
      <c r="C335" s="228"/>
      <c r="D335" s="175"/>
      <c r="F335" s="237"/>
    </row>
    <row r="336" spans="3:6" s="192" customFormat="1" x14ac:dyDescent="0.25">
      <c r="C336" s="228"/>
      <c r="D336" s="175"/>
      <c r="F336" s="237"/>
    </row>
    <row r="337" spans="3:6" s="192" customFormat="1" x14ac:dyDescent="0.25">
      <c r="C337" s="228"/>
      <c r="D337" s="175"/>
      <c r="F337" s="237"/>
    </row>
    <row r="338" spans="3:6" s="192" customFormat="1" x14ac:dyDescent="0.25">
      <c r="C338" s="228"/>
      <c r="D338" s="175"/>
      <c r="F338" s="237"/>
    </row>
    <row r="339" spans="3:6" s="192" customFormat="1" x14ac:dyDescent="0.25">
      <c r="C339" s="228"/>
      <c r="D339" s="175"/>
      <c r="F339" s="237"/>
    </row>
    <row r="340" spans="3:6" s="192" customFormat="1" x14ac:dyDescent="0.25">
      <c r="D340" s="175"/>
      <c r="F340" s="237"/>
    </row>
    <row r="341" spans="3:6" s="192" customFormat="1" x14ac:dyDescent="0.25">
      <c r="C341" s="228"/>
      <c r="D341" s="175"/>
      <c r="F341" s="237"/>
    </row>
    <row r="342" spans="3:6" s="192" customFormat="1" x14ac:dyDescent="0.25">
      <c r="C342" s="228"/>
      <c r="D342" s="175"/>
      <c r="F342" s="237"/>
    </row>
    <row r="343" spans="3:6" s="192" customFormat="1" x14ac:dyDescent="0.25">
      <c r="C343" s="228"/>
      <c r="D343" s="175"/>
      <c r="F343" s="237"/>
    </row>
    <row r="344" spans="3:6" s="192" customFormat="1" x14ac:dyDescent="0.25">
      <c r="C344" s="228"/>
      <c r="D344" s="175"/>
      <c r="F344" s="237"/>
    </row>
    <row r="345" spans="3:6" s="192" customFormat="1" x14ac:dyDescent="0.25">
      <c r="C345" s="228"/>
      <c r="D345" s="175"/>
      <c r="F345" s="237"/>
    </row>
    <row r="346" spans="3:6" s="192" customFormat="1" x14ac:dyDescent="0.25">
      <c r="D346" s="175"/>
      <c r="F346" s="237"/>
    </row>
    <row r="347" spans="3:6" s="192" customFormat="1" x14ac:dyDescent="0.25">
      <c r="C347" s="228"/>
      <c r="D347" s="175"/>
      <c r="F347" s="237"/>
    </row>
    <row r="348" spans="3:6" s="192" customFormat="1" x14ac:dyDescent="0.25">
      <c r="C348" s="228"/>
      <c r="D348" s="175"/>
      <c r="F348" s="237"/>
    </row>
    <row r="349" spans="3:6" s="192" customFormat="1" x14ac:dyDescent="0.25">
      <c r="C349" s="228"/>
      <c r="D349" s="175"/>
      <c r="F349" s="237"/>
    </row>
    <row r="350" spans="3:6" s="192" customFormat="1" x14ac:dyDescent="0.25">
      <c r="C350" s="228"/>
      <c r="D350" s="175"/>
      <c r="F350" s="237"/>
    </row>
    <row r="351" spans="3:6" s="192" customFormat="1" x14ac:dyDescent="0.25">
      <c r="C351" s="228"/>
      <c r="D351" s="175"/>
      <c r="F351" s="237"/>
    </row>
    <row r="352" spans="3:6" s="192" customFormat="1" x14ac:dyDescent="0.25">
      <c r="D352" s="175"/>
      <c r="F352" s="237"/>
    </row>
    <row r="353" spans="3:6" s="192" customFormat="1" x14ac:dyDescent="0.25">
      <c r="D353" s="175"/>
      <c r="F353" s="237"/>
    </row>
    <row r="354" spans="3:6" s="192" customFormat="1" x14ac:dyDescent="0.25">
      <c r="C354" s="228"/>
      <c r="D354" s="175"/>
      <c r="F354" s="237"/>
    </row>
    <row r="355" spans="3:6" s="192" customFormat="1" x14ac:dyDescent="0.25">
      <c r="C355" s="228"/>
      <c r="D355" s="175"/>
      <c r="F355" s="237"/>
    </row>
    <row r="356" spans="3:6" s="192" customFormat="1" x14ac:dyDescent="0.25">
      <c r="C356" s="228"/>
      <c r="D356" s="175"/>
      <c r="F356" s="237"/>
    </row>
    <row r="357" spans="3:6" s="192" customFormat="1" x14ac:dyDescent="0.25">
      <c r="C357" s="228"/>
      <c r="D357" s="175"/>
      <c r="F357" s="237"/>
    </row>
    <row r="358" spans="3:6" s="192" customFormat="1" x14ac:dyDescent="0.25">
      <c r="C358" s="228"/>
      <c r="D358" s="175"/>
      <c r="F358" s="237"/>
    </row>
    <row r="359" spans="3:6" s="192" customFormat="1" x14ac:dyDescent="0.25">
      <c r="D359" s="175"/>
      <c r="F359" s="237"/>
    </row>
    <row r="360" spans="3:6" s="192" customFormat="1" x14ac:dyDescent="0.25">
      <c r="C360" s="228"/>
      <c r="D360" s="175"/>
      <c r="F360" s="237"/>
    </row>
    <row r="361" spans="3:6" s="192" customFormat="1" x14ac:dyDescent="0.25">
      <c r="C361" s="228"/>
      <c r="D361" s="175"/>
      <c r="F361" s="237"/>
    </row>
    <row r="362" spans="3:6" s="192" customFormat="1" x14ac:dyDescent="0.25">
      <c r="C362" s="228"/>
      <c r="D362" s="175"/>
      <c r="F362" s="237"/>
    </row>
    <row r="363" spans="3:6" s="192" customFormat="1" x14ac:dyDescent="0.25">
      <c r="C363" s="228"/>
      <c r="D363" s="175"/>
      <c r="F363" s="237"/>
    </row>
    <row r="364" spans="3:6" s="192" customFormat="1" x14ac:dyDescent="0.25">
      <c r="C364" s="228"/>
      <c r="D364" s="175"/>
      <c r="F364" s="237"/>
    </row>
    <row r="365" spans="3:6" s="192" customFormat="1" x14ac:dyDescent="0.25">
      <c r="D365" s="175"/>
      <c r="F365" s="237"/>
    </row>
    <row r="366" spans="3:6" s="192" customFormat="1" x14ac:dyDescent="0.25">
      <c r="C366" s="228"/>
      <c r="D366" s="175"/>
      <c r="F366" s="237"/>
    </row>
    <row r="367" spans="3:6" s="192" customFormat="1" x14ac:dyDescent="0.25">
      <c r="C367" s="228"/>
      <c r="D367" s="175"/>
      <c r="F367" s="237"/>
    </row>
    <row r="368" spans="3:6" s="192" customFormat="1" x14ac:dyDescent="0.25">
      <c r="C368" s="228"/>
      <c r="D368" s="175"/>
      <c r="F368" s="237"/>
    </row>
    <row r="369" spans="3:6" s="192" customFormat="1" x14ac:dyDescent="0.25">
      <c r="C369" s="228"/>
      <c r="D369" s="175"/>
      <c r="F369" s="237"/>
    </row>
    <row r="370" spans="3:6" s="192" customFormat="1" x14ac:dyDescent="0.25">
      <c r="C370" s="228"/>
      <c r="D370" s="175"/>
      <c r="F370" s="237"/>
    </row>
    <row r="371" spans="3:6" s="192" customFormat="1" x14ac:dyDescent="0.25">
      <c r="D371" s="175"/>
      <c r="F371" s="237"/>
    </row>
    <row r="372" spans="3:6" s="192" customFormat="1" x14ac:dyDescent="0.25">
      <c r="C372" s="228"/>
      <c r="D372" s="175"/>
      <c r="F372" s="237"/>
    </row>
    <row r="373" spans="3:6" s="192" customFormat="1" x14ac:dyDescent="0.25">
      <c r="C373" s="228"/>
      <c r="D373" s="175"/>
      <c r="F373" s="237"/>
    </row>
    <row r="374" spans="3:6" s="192" customFormat="1" x14ac:dyDescent="0.25">
      <c r="C374" s="228"/>
      <c r="D374" s="175"/>
      <c r="F374" s="237"/>
    </row>
    <row r="375" spans="3:6" s="192" customFormat="1" x14ac:dyDescent="0.25">
      <c r="C375" s="228"/>
      <c r="D375" s="175"/>
      <c r="F375" s="237"/>
    </row>
    <row r="376" spans="3:6" s="192" customFormat="1" x14ac:dyDescent="0.25">
      <c r="C376" s="228"/>
      <c r="D376" s="175"/>
      <c r="F376" s="237"/>
    </row>
    <row r="377" spans="3:6" s="192" customFormat="1" x14ac:dyDescent="0.25">
      <c r="D377" s="175"/>
      <c r="F377" s="237"/>
    </row>
    <row r="378" spans="3:6" s="192" customFormat="1" x14ac:dyDescent="0.25">
      <c r="C378" s="228"/>
      <c r="D378" s="175"/>
      <c r="F378" s="237"/>
    </row>
    <row r="379" spans="3:6" s="192" customFormat="1" x14ac:dyDescent="0.25">
      <c r="C379" s="228"/>
      <c r="D379" s="175"/>
      <c r="F379" s="237"/>
    </row>
    <row r="380" spans="3:6" s="192" customFormat="1" x14ac:dyDescent="0.25">
      <c r="C380" s="228"/>
      <c r="D380" s="175"/>
      <c r="F380" s="237"/>
    </row>
    <row r="381" spans="3:6" s="192" customFormat="1" x14ac:dyDescent="0.25">
      <c r="C381" s="228"/>
      <c r="D381" s="175"/>
      <c r="F381" s="237"/>
    </row>
    <row r="382" spans="3:6" s="192" customFormat="1" x14ac:dyDescent="0.25">
      <c r="C382" s="228"/>
      <c r="D382" s="175"/>
      <c r="F382" s="237"/>
    </row>
    <row r="383" spans="3:6" s="192" customFormat="1" x14ac:dyDescent="0.25">
      <c r="D383" s="175"/>
      <c r="F383" s="237"/>
    </row>
    <row r="384" spans="3:6" s="192" customFormat="1" x14ac:dyDescent="0.25">
      <c r="C384" s="228"/>
      <c r="D384" s="175"/>
      <c r="F384" s="237"/>
    </row>
    <row r="385" spans="3:6" s="192" customFormat="1" x14ac:dyDescent="0.25">
      <c r="C385" s="228"/>
      <c r="D385" s="175"/>
      <c r="F385" s="237"/>
    </row>
    <row r="386" spans="3:6" s="192" customFormat="1" x14ac:dyDescent="0.25">
      <c r="C386" s="228"/>
      <c r="D386" s="175"/>
      <c r="F386" s="237"/>
    </row>
    <row r="387" spans="3:6" s="192" customFormat="1" x14ac:dyDescent="0.25">
      <c r="C387" s="228"/>
      <c r="D387" s="175"/>
      <c r="F387" s="237"/>
    </row>
    <row r="388" spans="3:6" s="192" customFormat="1" x14ac:dyDescent="0.25">
      <c r="C388" s="228"/>
      <c r="D388" s="175"/>
      <c r="F388" s="237"/>
    </row>
    <row r="389" spans="3:6" s="192" customFormat="1" x14ac:dyDescent="0.25">
      <c r="D389" s="175"/>
      <c r="F389" s="237"/>
    </row>
    <row r="390" spans="3:6" s="192" customFormat="1" x14ac:dyDescent="0.25">
      <c r="D390" s="175"/>
      <c r="F390" s="237"/>
    </row>
    <row r="391" spans="3:6" s="192" customFormat="1" x14ac:dyDescent="0.25">
      <c r="C391" s="228"/>
      <c r="D391" s="175"/>
      <c r="F391" s="237"/>
    </row>
    <row r="392" spans="3:6" s="192" customFormat="1" x14ac:dyDescent="0.25">
      <c r="C392" s="228"/>
      <c r="D392" s="175"/>
      <c r="F392" s="237"/>
    </row>
    <row r="393" spans="3:6" s="192" customFormat="1" x14ac:dyDescent="0.25">
      <c r="C393" s="228"/>
      <c r="D393" s="175"/>
      <c r="F393" s="237"/>
    </row>
    <row r="394" spans="3:6" s="192" customFormat="1" x14ac:dyDescent="0.25">
      <c r="C394" s="228"/>
      <c r="D394" s="175"/>
      <c r="F394" s="237"/>
    </row>
    <row r="395" spans="3:6" s="192" customFormat="1" x14ac:dyDescent="0.25">
      <c r="C395" s="228"/>
      <c r="D395" s="175"/>
      <c r="F395" s="237"/>
    </row>
    <row r="396" spans="3:6" s="192" customFormat="1" x14ac:dyDescent="0.25">
      <c r="D396" s="175"/>
      <c r="F396" s="237"/>
    </row>
    <row r="397" spans="3:6" s="192" customFormat="1" x14ac:dyDescent="0.25">
      <c r="C397" s="228"/>
      <c r="D397" s="175"/>
      <c r="F397" s="237"/>
    </row>
    <row r="398" spans="3:6" s="192" customFormat="1" x14ac:dyDescent="0.25">
      <c r="C398" s="228"/>
      <c r="D398" s="175"/>
      <c r="F398" s="237"/>
    </row>
    <row r="399" spans="3:6" s="192" customFormat="1" x14ac:dyDescent="0.25">
      <c r="C399" s="228"/>
      <c r="D399" s="175"/>
      <c r="F399" s="237"/>
    </row>
    <row r="400" spans="3:6" s="192" customFormat="1" x14ac:dyDescent="0.25">
      <c r="C400" s="228"/>
      <c r="D400" s="175"/>
      <c r="F400" s="237"/>
    </row>
    <row r="401" spans="3:6" s="192" customFormat="1" x14ac:dyDescent="0.25">
      <c r="C401" s="228"/>
      <c r="D401" s="175"/>
      <c r="F401" s="237"/>
    </row>
    <row r="402" spans="3:6" s="192" customFormat="1" x14ac:dyDescent="0.25">
      <c r="D402" s="175"/>
      <c r="F402" s="237"/>
    </row>
    <row r="403" spans="3:6" s="103" customFormat="1" x14ac:dyDescent="0.25">
      <c r="D403" s="104"/>
      <c r="F403" s="236"/>
    </row>
    <row r="404" spans="3:6" s="103" customFormat="1" x14ac:dyDescent="0.25">
      <c r="D404" s="104"/>
      <c r="F404" s="236"/>
    </row>
    <row r="405" spans="3:6" s="103" customFormat="1" x14ac:dyDescent="0.25">
      <c r="D405" s="104"/>
      <c r="F405" s="236"/>
    </row>
    <row r="406" spans="3:6" s="103" customFormat="1" x14ac:dyDescent="0.25">
      <c r="D406" s="104"/>
      <c r="F406" s="236"/>
    </row>
    <row r="407" spans="3:6" s="103" customFormat="1" x14ac:dyDescent="0.25">
      <c r="D407" s="104"/>
      <c r="F407" s="236"/>
    </row>
    <row r="408" spans="3:6" s="103" customFormat="1" x14ac:dyDescent="0.25">
      <c r="D408" s="104"/>
      <c r="F408" s="236"/>
    </row>
    <row r="409" spans="3:6" s="103" customFormat="1" x14ac:dyDescent="0.25">
      <c r="D409" s="104"/>
      <c r="F409" s="236"/>
    </row>
    <row r="410" spans="3:6" s="103" customFormat="1" x14ac:dyDescent="0.25">
      <c r="D410" s="104"/>
      <c r="F410" s="236"/>
    </row>
    <row r="411" spans="3:6" s="103" customFormat="1" x14ac:dyDescent="0.25">
      <c r="D411" s="104"/>
      <c r="F411" s="236"/>
    </row>
    <row r="412" spans="3:6" s="103" customFormat="1" x14ac:dyDescent="0.25">
      <c r="D412" s="104"/>
      <c r="F412" s="236"/>
    </row>
    <row r="413" spans="3:6" s="103" customFormat="1" x14ac:dyDescent="0.25">
      <c r="D413" s="104"/>
      <c r="F413" s="236"/>
    </row>
    <row r="414" spans="3:6" s="103" customFormat="1" x14ac:dyDescent="0.25">
      <c r="D414" s="104"/>
      <c r="F414" s="236"/>
    </row>
    <row r="415" spans="3:6" s="103" customFormat="1" x14ac:dyDescent="0.25">
      <c r="D415" s="104"/>
      <c r="F415" s="236"/>
    </row>
    <row r="416" spans="3:6" s="103" customFormat="1" x14ac:dyDescent="0.25">
      <c r="D416" s="104"/>
      <c r="F416" s="236"/>
    </row>
    <row r="417" spans="4:6" s="103" customFormat="1" x14ac:dyDescent="0.25">
      <c r="D417" s="104"/>
      <c r="F417" s="236"/>
    </row>
    <row r="418" spans="4:6" s="103" customFormat="1" x14ac:dyDescent="0.25">
      <c r="D418" s="104"/>
      <c r="F418" s="236"/>
    </row>
    <row r="419" spans="4:6" s="103" customFormat="1" x14ac:dyDescent="0.25">
      <c r="D419" s="104"/>
      <c r="F419" s="236"/>
    </row>
    <row r="420" spans="4:6" s="103" customFormat="1" x14ac:dyDescent="0.25">
      <c r="D420" s="104"/>
      <c r="F420" s="236"/>
    </row>
    <row r="421" spans="4:6" s="103" customFormat="1" x14ac:dyDescent="0.25">
      <c r="D421" s="104"/>
      <c r="F421" s="236"/>
    </row>
    <row r="422" spans="4:6" s="103" customFormat="1" x14ac:dyDescent="0.25">
      <c r="D422" s="104"/>
      <c r="F422" s="236"/>
    </row>
    <row r="423" spans="4:6" s="103" customFormat="1" x14ac:dyDescent="0.25">
      <c r="D423" s="104"/>
      <c r="F423" s="236"/>
    </row>
    <row r="424" spans="4:6" s="103" customFormat="1" x14ac:dyDescent="0.25">
      <c r="D424" s="104"/>
      <c r="F424" s="236"/>
    </row>
    <row r="425" spans="4:6" s="103" customFormat="1" x14ac:dyDescent="0.25">
      <c r="D425" s="104"/>
      <c r="F425" s="236"/>
    </row>
    <row r="426" spans="4:6" s="103" customFormat="1" x14ac:dyDescent="0.25">
      <c r="D426" s="104"/>
      <c r="F426" s="236"/>
    </row>
    <row r="427" spans="4:6" s="103" customFormat="1" x14ac:dyDescent="0.25">
      <c r="D427" s="104"/>
      <c r="F427" s="236"/>
    </row>
    <row r="428" spans="4:6" s="103" customFormat="1" x14ac:dyDescent="0.25">
      <c r="D428" s="104"/>
      <c r="F428" s="236"/>
    </row>
    <row r="429" spans="4:6" s="103" customFormat="1" x14ac:dyDescent="0.25">
      <c r="D429" s="104"/>
      <c r="F429" s="236"/>
    </row>
    <row r="430" spans="4:6" s="103" customFormat="1" x14ac:dyDescent="0.25">
      <c r="D430" s="104"/>
      <c r="F430" s="236"/>
    </row>
    <row r="431" spans="4:6" s="103" customFormat="1" x14ac:dyDescent="0.25">
      <c r="D431" s="104"/>
      <c r="F431" s="236"/>
    </row>
    <row r="432" spans="4:6" s="103" customFormat="1" x14ac:dyDescent="0.25">
      <c r="D432" s="104"/>
      <c r="F432" s="236"/>
    </row>
    <row r="433" spans="4:6" s="103" customFormat="1" x14ac:dyDescent="0.25">
      <c r="D433" s="104"/>
      <c r="F433" s="236"/>
    </row>
    <row r="434" spans="4:6" s="103" customFormat="1" x14ac:dyDescent="0.25">
      <c r="D434" s="104"/>
      <c r="F434" s="236"/>
    </row>
    <row r="435" spans="4:6" s="103" customFormat="1" x14ac:dyDescent="0.25">
      <c r="D435" s="104"/>
      <c r="F435" s="236"/>
    </row>
    <row r="436" spans="4:6" s="103" customFormat="1" x14ac:dyDescent="0.25">
      <c r="D436" s="104"/>
      <c r="F436" s="236"/>
    </row>
    <row r="437" spans="4:6" s="103" customFormat="1" x14ac:dyDescent="0.25">
      <c r="D437" s="104"/>
      <c r="F437" s="236"/>
    </row>
    <row r="438" spans="4:6" s="103" customFormat="1" x14ac:dyDescent="0.25">
      <c r="D438" s="104"/>
      <c r="F438" s="236"/>
    </row>
    <row r="439" spans="4:6" s="103" customFormat="1" x14ac:dyDescent="0.25">
      <c r="D439" s="104"/>
      <c r="F439" s="236"/>
    </row>
    <row r="440" spans="4:6" s="103" customFormat="1" x14ac:dyDescent="0.25">
      <c r="D440" s="104"/>
      <c r="F440" s="236"/>
    </row>
    <row r="441" spans="4:6" s="103" customFormat="1" x14ac:dyDescent="0.25">
      <c r="D441" s="104"/>
      <c r="F441" s="236"/>
    </row>
    <row r="442" spans="4:6" s="103" customFormat="1" x14ac:dyDescent="0.25">
      <c r="D442" s="104"/>
      <c r="F442" s="236"/>
    </row>
    <row r="443" spans="4:6" s="103" customFormat="1" x14ac:dyDescent="0.25">
      <c r="D443" s="104"/>
      <c r="F443" s="236"/>
    </row>
    <row r="444" spans="4:6" s="103" customFormat="1" x14ac:dyDescent="0.25">
      <c r="D444" s="104"/>
      <c r="F444" s="236"/>
    </row>
    <row r="445" spans="4:6" s="103" customFormat="1" x14ac:dyDescent="0.25">
      <c r="D445" s="104"/>
      <c r="F445" s="236"/>
    </row>
    <row r="446" spans="4:6" s="103" customFormat="1" x14ac:dyDescent="0.25">
      <c r="D446" s="104"/>
      <c r="F446" s="236"/>
    </row>
    <row r="447" spans="4:6" s="103" customFormat="1" x14ac:dyDescent="0.25">
      <c r="D447" s="104"/>
      <c r="F447" s="236"/>
    </row>
    <row r="448" spans="4:6" s="103" customFormat="1" x14ac:dyDescent="0.25">
      <c r="D448" s="104"/>
      <c r="F448" s="236"/>
    </row>
    <row r="449" spans="4:6" s="103" customFormat="1" x14ac:dyDescent="0.25">
      <c r="D449" s="104"/>
      <c r="F449" s="236"/>
    </row>
    <row r="450" spans="4:6" s="103" customFormat="1" x14ac:dyDescent="0.25">
      <c r="D450" s="104"/>
      <c r="F450" s="236"/>
    </row>
    <row r="451" spans="4:6" s="103" customFormat="1" x14ac:dyDescent="0.25">
      <c r="D451" s="104"/>
      <c r="F451" s="236"/>
    </row>
    <row r="452" spans="4:6" s="103" customFormat="1" x14ac:dyDescent="0.25">
      <c r="D452" s="104"/>
      <c r="F452" s="236"/>
    </row>
    <row r="453" spans="4:6" s="103" customFormat="1" x14ac:dyDescent="0.25">
      <c r="D453" s="104"/>
      <c r="F453" s="236"/>
    </row>
    <row r="454" spans="4:6" s="103" customFormat="1" x14ac:dyDescent="0.25">
      <c r="D454" s="104"/>
      <c r="F454" s="236"/>
    </row>
    <row r="455" spans="4:6" s="103" customFormat="1" x14ac:dyDescent="0.25">
      <c r="D455" s="104"/>
      <c r="F455" s="236"/>
    </row>
    <row r="456" spans="4:6" s="103" customFormat="1" x14ac:dyDescent="0.25">
      <c r="D456" s="104"/>
      <c r="F456" s="236"/>
    </row>
    <row r="457" spans="4:6" s="103" customFormat="1" x14ac:dyDescent="0.25">
      <c r="D457" s="104"/>
      <c r="F457" s="236"/>
    </row>
    <row r="458" spans="4:6" s="103" customFormat="1" x14ac:dyDescent="0.25">
      <c r="D458" s="104"/>
      <c r="F458" s="236"/>
    </row>
    <row r="459" spans="4:6" s="103" customFormat="1" x14ac:dyDescent="0.25">
      <c r="D459" s="104"/>
      <c r="F459" s="236"/>
    </row>
    <row r="460" spans="4:6" s="103" customFormat="1" x14ac:dyDescent="0.25">
      <c r="D460" s="104"/>
      <c r="F460" s="236"/>
    </row>
    <row r="461" spans="4:6" s="103" customFormat="1" x14ac:dyDescent="0.25">
      <c r="D461" s="104"/>
      <c r="F461" s="236"/>
    </row>
    <row r="462" spans="4:6" s="103" customFormat="1" x14ac:dyDescent="0.25">
      <c r="D462" s="104"/>
      <c r="F462" s="236"/>
    </row>
    <row r="463" spans="4:6" s="103" customFormat="1" x14ac:dyDescent="0.25">
      <c r="D463" s="104"/>
      <c r="F463" s="236"/>
    </row>
    <row r="464" spans="4:6" s="103" customFormat="1" x14ac:dyDescent="0.25">
      <c r="D464" s="104"/>
      <c r="F464" s="236"/>
    </row>
    <row r="465" spans="4:6" s="103" customFormat="1" x14ac:dyDescent="0.25">
      <c r="D465" s="104"/>
      <c r="F465" s="236"/>
    </row>
    <row r="466" spans="4:6" s="103" customFormat="1" x14ac:dyDescent="0.25">
      <c r="D466" s="104"/>
      <c r="F466" s="236"/>
    </row>
    <row r="467" spans="4:6" s="103" customFormat="1" x14ac:dyDescent="0.25">
      <c r="D467" s="104"/>
      <c r="F467" s="236"/>
    </row>
    <row r="468" spans="4:6" s="103" customFormat="1" x14ac:dyDescent="0.25">
      <c r="D468" s="104"/>
      <c r="F468" s="236"/>
    </row>
    <row r="469" spans="4:6" s="103" customFormat="1" x14ac:dyDescent="0.25">
      <c r="D469" s="104"/>
      <c r="F469" s="236"/>
    </row>
    <row r="470" spans="4:6" s="103" customFormat="1" x14ac:dyDescent="0.25">
      <c r="D470" s="104"/>
      <c r="F470" s="236"/>
    </row>
    <row r="471" spans="4:6" s="103" customFormat="1" x14ac:dyDescent="0.25">
      <c r="D471" s="104"/>
      <c r="F471" s="236"/>
    </row>
    <row r="472" spans="4:6" s="103" customFormat="1" x14ac:dyDescent="0.25">
      <c r="D472" s="104"/>
      <c r="F472" s="236"/>
    </row>
    <row r="473" spans="4:6" s="103" customFormat="1" x14ac:dyDescent="0.25">
      <c r="D473" s="104"/>
      <c r="F473" s="236"/>
    </row>
    <row r="474" spans="4:6" s="103" customFormat="1" x14ac:dyDescent="0.25">
      <c r="D474" s="104"/>
      <c r="F474" s="236"/>
    </row>
    <row r="475" spans="4:6" s="103" customFormat="1" x14ac:dyDescent="0.25">
      <c r="D475" s="104"/>
      <c r="F475" s="236"/>
    </row>
    <row r="476" spans="4:6" s="103" customFormat="1" x14ac:dyDescent="0.25">
      <c r="D476" s="104"/>
      <c r="F476" s="236"/>
    </row>
    <row r="477" spans="4:6" s="103" customFormat="1" x14ac:dyDescent="0.25">
      <c r="D477" s="104"/>
      <c r="F477" s="236"/>
    </row>
    <row r="478" spans="4:6" s="103" customFormat="1" x14ac:dyDescent="0.25">
      <c r="D478" s="104"/>
      <c r="F478" s="236"/>
    </row>
    <row r="479" spans="4:6" s="103" customFormat="1" x14ac:dyDescent="0.25">
      <c r="D479" s="104"/>
      <c r="F479" s="236"/>
    </row>
    <row r="480" spans="4:6" s="103" customFormat="1" x14ac:dyDescent="0.25">
      <c r="D480" s="104"/>
      <c r="F480" s="236"/>
    </row>
    <row r="481" spans="4:6" s="103" customFormat="1" x14ac:dyDescent="0.25">
      <c r="D481" s="104"/>
      <c r="F481" s="236"/>
    </row>
    <row r="482" spans="4:6" s="103" customFormat="1" x14ac:dyDescent="0.25">
      <c r="D482" s="104"/>
      <c r="F482" s="236"/>
    </row>
    <row r="483" spans="4:6" s="103" customFormat="1" x14ac:dyDescent="0.25">
      <c r="D483" s="104"/>
      <c r="F483" s="236"/>
    </row>
    <row r="484" spans="4:6" s="103" customFormat="1" x14ac:dyDescent="0.25">
      <c r="D484" s="104"/>
      <c r="F484" s="236"/>
    </row>
    <row r="485" spans="4:6" s="103" customFormat="1" x14ac:dyDescent="0.25">
      <c r="D485" s="104"/>
      <c r="F485" s="236"/>
    </row>
    <row r="486" spans="4:6" s="103" customFormat="1" x14ac:dyDescent="0.25">
      <c r="D486" s="104"/>
      <c r="F486" s="236"/>
    </row>
    <row r="487" spans="4:6" s="103" customFormat="1" x14ac:dyDescent="0.25">
      <c r="D487" s="104"/>
      <c r="F487" s="236"/>
    </row>
    <row r="488" spans="4:6" s="103" customFormat="1" x14ac:dyDescent="0.25">
      <c r="D488" s="104"/>
      <c r="F488" s="236"/>
    </row>
    <row r="489" spans="4:6" s="103" customFormat="1" x14ac:dyDescent="0.25">
      <c r="D489" s="104"/>
      <c r="F489" s="236"/>
    </row>
    <row r="490" spans="4:6" s="103" customFormat="1" x14ac:dyDescent="0.25">
      <c r="D490" s="104"/>
      <c r="F490" s="236"/>
    </row>
    <row r="491" spans="4:6" s="103" customFormat="1" x14ac:dyDescent="0.25">
      <c r="D491" s="104"/>
      <c r="F491" s="236"/>
    </row>
    <row r="492" spans="4:6" s="103" customFormat="1" x14ac:dyDescent="0.25">
      <c r="D492" s="104"/>
      <c r="F492" s="236"/>
    </row>
    <row r="493" spans="4:6" s="103" customFormat="1" x14ac:dyDescent="0.25">
      <c r="D493" s="104"/>
      <c r="F493" s="236"/>
    </row>
    <row r="494" spans="4:6" s="103" customFormat="1" x14ac:dyDescent="0.25">
      <c r="D494" s="104"/>
      <c r="F494" s="236"/>
    </row>
    <row r="495" spans="4:6" s="103" customFormat="1" x14ac:dyDescent="0.25">
      <c r="D495" s="104"/>
      <c r="F495" s="236"/>
    </row>
    <row r="496" spans="4:6" s="103" customFormat="1" x14ac:dyDescent="0.25">
      <c r="D496" s="104"/>
      <c r="F496" s="236"/>
    </row>
    <row r="497" spans="4:6" s="103" customFormat="1" x14ac:dyDescent="0.25">
      <c r="D497" s="104"/>
      <c r="F497" s="236"/>
    </row>
    <row r="498" spans="4:6" s="103" customFormat="1" x14ac:dyDescent="0.25">
      <c r="D498" s="104"/>
      <c r="F498" s="236"/>
    </row>
    <row r="499" spans="4:6" s="103" customFormat="1" x14ac:dyDescent="0.25">
      <c r="D499" s="104"/>
      <c r="F499" s="236"/>
    </row>
    <row r="500" spans="4:6" s="103" customFormat="1" x14ac:dyDescent="0.25">
      <c r="D500" s="104"/>
      <c r="F500" s="236"/>
    </row>
    <row r="501" spans="4:6" s="103" customFormat="1" x14ac:dyDescent="0.25">
      <c r="D501" s="104"/>
      <c r="F501" s="236"/>
    </row>
    <row r="502" spans="4:6" s="103" customFormat="1" x14ac:dyDescent="0.25">
      <c r="D502" s="104"/>
      <c r="F502" s="236"/>
    </row>
    <row r="503" spans="4:6" s="103" customFormat="1" x14ac:dyDescent="0.25">
      <c r="D503" s="104"/>
      <c r="F503" s="236"/>
    </row>
    <row r="504" spans="4:6" s="103" customFormat="1" x14ac:dyDescent="0.25">
      <c r="D504" s="104"/>
      <c r="F504" s="236"/>
    </row>
    <row r="505" spans="4:6" s="103" customFormat="1" x14ac:dyDescent="0.25">
      <c r="D505" s="104"/>
      <c r="F505" s="236"/>
    </row>
    <row r="506" spans="4:6" s="103" customFormat="1" x14ac:dyDescent="0.25">
      <c r="D506" s="104"/>
      <c r="F506" s="236"/>
    </row>
    <row r="507" spans="4:6" s="103" customFormat="1" x14ac:dyDescent="0.25">
      <c r="D507" s="104"/>
      <c r="F507" s="236"/>
    </row>
    <row r="508" spans="4:6" s="103" customFormat="1" x14ac:dyDescent="0.25">
      <c r="D508" s="104"/>
      <c r="F508" s="236"/>
    </row>
    <row r="509" spans="4:6" s="103" customFormat="1" x14ac:dyDescent="0.25">
      <c r="D509" s="104"/>
      <c r="F509" s="236"/>
    </row>
    <row r="510" spans="4:6" s="103" customFormat="1" x14ac:dyDescent="0.25">
      <c r="D510" s="104"/>
      <c r="F510" s="236"/>
    </row>
    <row r="511" spans="4:6" s="103" customFormat="1" x14ac:dyDescent="0.25">
      <c r="D511" s="104"/>
      <c r="F511" s="236"/>
    </row>
    <row r="512" spans="4:6" s="103" customFormat="1" x14ac:dyDescent="0.25">
      <c r="D512" s="104"/>
      <c r="F512" s="236"/>
    </row>
    <row r="513" spans="4:6" s="103" customFormat="1" x14ac:dyDescent="0.25">
      <c r="D513" s="104"/>
      <c r="F513" s="236"/>
    </row>
    <row r="514" spans="4:6" s="103" customFormat="1" x14ac:dyDescent="0.25">
      <c r="D514" s="104"/>
      <c r="F514" s="236"/>
    </row>
    <row r="515" spans="4:6" s="103" customFormat="1" x14ac:dyDescent="0.25">
      <c r="D515" s="104"/>
      <c r="F515" s="236"/>
    </row>
    <row r="516" spans="4:6" s="103" customFormat="1" x14ac:dyDescent="0.25">
      <c r="D516" s="104"/>
      <c r="F516" s="236"/>
    </row>
    <row r="517" spans="4:6" s="103" customFormat="1" x14ac:dyDescent="0.25">
      <c r="D517" s="104"/>
      <c r="F517" s="236"/>
    </row>
    <row r="518" spans="4:6" s="103" customFormat="1" x14ac:dyDescent="0.25">
      <c r="D518" s="104"/>
      <c r="F518" s="236"/>
    </row>
    <row r="519" spans="4:6" s="103" customFormat="1" x14ac:dyDescent="0.25">
      <c r="D519" s="104"/>
      <c r="F519" s="236"/>
    </row>
    <row r="520" spans="4:6" s="103" customFormat="1" x14ac:dyDescent="0.25">
      <c r="D520" s="104"/>
      <c r="F520" s="236"/>
    </row>
    <row r="521" spans="4:6" s="103" customFormat="1" x14ac:dyDescent="0.25">
      <c r="D521" s="104"/>
      <c r="F521" s="236"/>
    </row>
    <row r="522" spans="4:6" s="103" customFormat="1" x14ac:dyDescent="0.25">
      <c r="D522" s="104"/>
      <c r="F522" s="236"/>
    </row>
    <row r="523" spans="4:6" s="103" customFormat="1" x14ac:dyDescent="0.25">
      <c r="D523" s="104"/>
      <c r="F523" s="236"/>
    </row>
    <row r="524" spans="4:6" s="103" customFormat="1" x14ac:dyDescent="0.25">
      <c r="D524" s="104"/>
      <c r="F524" s="236"/>
    </row>
    <row r="525" spans="4:6" s="103" customFormat="1" x14ac:dyDescent="0.25">
      <c r="D525" s="104"/>
      <c r="F525" s="236"/>
    </row>
    <row r="526" spans="4:6" s="103" customFormat="1" x14ac:dyDescent="0.25">
      <c r="D526" s="104"/>
      <c r="F526" s="236"/>
    </row>
    <row r="527" spans="4:6" s="103" customFormat="1" x14ac:dyDescent="0.25">
      <c r="D527" s="104"/>
      <c r="F527" s="236"/>
    </row>
    <row r="528" spans="4:6" s="103" customFormat="1" x14ac:dyDescent="0.25">
      <c r="D528" s="104"/>
      <c r="F528" s="236"/>
    </row>
    <row r="529" spans="4:6" s="103" customFormat="1" x14ac:dyDescent="0.25">
      <c r="D529" s="104"/>
      <c r="F529" s="236"/>
    </row>
    <row r="530" spans="4:6" s="103" customFormat="1" x14ac:dyDescent="0.25">
      <c r="D530" s="104"/>
      <c r="F530" s="236"/>
    </row>
    <row r="531" spans="4:6" s="103" customFormat="1" x14ac:dyDescent="0.25">
      <c r="D531" s="104"/>
      <c r="F531" s="236"/>
    </row>
    <row r="532" spans="4:6" s="103" customFormat="1" x14ac:dyDescent="0.25">
      <c r="D532" s="104"/>
      <c r="F532" s="236"/>
    </row>
    <row r="533" spans="4:6" s="103" customFormat="1" x14ac:dyDescent="0.25">
      <c r="D533" s="104"/>
      <c r="F533" s="236"/>
    </row>
    <row r="534" spans="4:6" s="103" customFormat="1" x14ac:dyDescent="0.25">
      <c r="D534" s="104"/>
      <c r="F534" s="236"/>
    </row>
    <row r="535" spans="4:6" s="103" customFormat="1" x14ac:dyDescent="0.25">
      <c r="D535" s="104"/>
      <c r="F535" s="236"/>
    </row>
    <row r="536" spans="4:6" s="103" customFormat="1" x14ac:dyDescent="0.25">
      <c r="D536" s="104"/>
      <c r="F536" s="236"/>
    </row>
    <row r="537" spans="4:6" s="103" customFormat="1" x14ac:dyDescent="0.25">
      <c r="D537" s="104"/>
      <c r="F537" s="236"/>
    </row>
    <row r="538" spans="4:6" s="103" customFormat="1" x14ac:dyDescent="0.25">
      <c r="D538" s="104"/>
      <c r="F538" s="236"/>
    </row>
    <row r="539" spans="4:6" s="103" customFormat="1" x14ac:dyDescent="0.25">
      <c r="D539" s="104"/>
      <c r="F539" s="236"/>
    </row>
    <row r="540" spans="4:6" s="103" customFormat="1" x14ac:dyDescent="0.25">
      <c r="D540" s="104"/>
      <c r="F540" s="236"/>
    </row>
    <row r="541" spans="4:6" s="103" customFormat="1" x14ac:dyDescent="0.25">
      <c r="D541" s="104"/>
      <c r="F541" s="236"/>
    </row>
    <row r="542" spans="4:6" s="103" customFormat="1" x14ac:dyDescent="0.25">
      <c r="D542" s="104"/>
      <c r="F542" s="236"/>
    </row>
    <row r="543" spans="4:6" s="103" customFormat="1" x14ac:dyDescent="0.25">
      <c r="D543" s="104"/>
      <c r="F543" s="236"/>
    </row>
    <row r="544" spans="4:6" s="103" customFormat="1" x14ac:dyDescent="0.25">
      <c r="D544" s="104"/>
      <c r="F544" s="236"/>
    </row>
    <row r="545" spans="4:6" s="103" customFormat="1" x14ac:dyDescent="0.25">
      <c r="D545" s="104"/>
      <c r="F545" s="236"/>
    </row>
    <row r="546" spans="4:6" s="103" customFormat="1" x14ac:dyDescent="0.25">
      <c r="D546" s="104"/>
      <c r="F546" s="236"/>
    </row>
    <row r="547" spans="4:6" s="103" customFormat="1" x14ac:dyDescent="0.25">
      <c r="D547" s="104"/>
      <c r="F547" s="236"/>
    </row>
    <row r="548" spans="4:6" s="103" customFormat="1" x14ac:dyDescent="0.25">
      <c r="D548" s="104"/>
      <c r="F548" s="236"/>
    </row>
    <row r="549" spans="4:6" s="103" customFormat="1" x14ac:dyDescent="0.25">
      <c r="D549" s="104"/>
      <c r="F549" s="236"/>
    </row>
    <row r="550" spans="4:6" s="103" customFormat="1" x14ac:dyDescent="0.25">
      <c r="D550" s="104"/>
      <c r="F550" s="236"/>
    </row>
    <row r="551" spans="4:6" s="103" customFormat="1" x14ac:dyDescent="0.25">
      <c r="D551" s="104"/>
      <c r="F551" s="236"/>
    </row>
    <row r="552" spans="4:6" s="103" customFormat="1" x14ac:dyDescent="0.25">
      <c r="D552" s="104"/>
      <c r="F552" s="236"/>
    </row>
    <row r="553" spans="4:6" s="103" customFormat="1" x14ac:dyDescent="0.25">
      <c r="D553" s="104"/>
      <c r="F553" s="236"/>
    </row>
    <row r="554" spans="4:6" s="103" customFormat="1" x14ac:dyDescent="0.25">
      <c r="D554" s="104"/>
      <c r="F554" s="236"/>
    </row>
    <row r="555" spans="4:6" s="103" customFormat="1" x14ac:dyDescent="0.25">
      <c r="D555" s="104"/>
      <c r="F555" s="236"/>
    </row>
    <row r="556" spans="4:6" s="103" customFormat="1" x14ac:dyDescent="0.25">
      <c r="D556" s="104"/>
      <c r="F556" s="236"/>
    </row>
    <row r="557" spans="4:6" s="103" customFormat="1" x14ac:dyDescent="0.25">
      <c r="D557" s="104"/>
      <c r="F557" s="236"/>
    </row>
    <row r="558" spans="4:6" s="103" customFormat="1" x14ac:dyDescent="0.25">
      <c r="D558" s="104"/>
      <c r="F558" s="236"/>
    </row>
    <row r="559" spans="4:6" s="103" customFormat="1" x14ac:dyDescent="0.25">
      <c r="D559" s="104"/>
      <c r="F559" s="236"/>
    </row>
    <row r="560" spans="4:6" s="103" customFormat="1" x14ac:dyDescent="0.25">
      <c r="D560" s="104"/>
      <c r="F560" s="236"/>
    </row>
    <row r="561" spans="4:6" s="103" customFormat="1" x14ac:dyDescent="0.25">
      <c r="D561" s="104"/>
      <c r="F561" s="236"/>
    </row>
    <row r="562" spans="4:6" s="103" customFormat="1" x14ac:dyDescent="0.25">
      <c r="D562" s="104"/>
      <c r="F562" s="236"/>
    </row>
    <row r="563" spans="4:6" s="103" customFormat="1" x14ac:dyDescent="0.25">
      <c r="D563" s="104"/>
      <c r="F563" s="236"/>
    </row>
    <row r="564" spans="4:6" s="103" customFormat="1" x14ac:dyDescent="0.25">
      <c r="D564" s="104"/>
      <c r="F564" s="236"/>
    </row>
    <row r="565" spans="4:6" s="103" customFormat="1" x14ac:dyDescent="0.25">
      <c r="D565" s="104"/>
      <c r="F565" s="236"/>
    </row>
    <row r="566" spans="4:6" s="103" customFormat="1" x14ac:dyDescent="0.25">
      <c r="D566" s="104"/>
      <c r="F566" s="236"/>
    </row>
    <row r="567" spans="4:6" s="103" customFormat="1" x14ac:dyDescent="0.25">
      <c r="D567" s="104"/>
      <c r="F567" s="236"/>
    </row>
    <row r="568" spans="4:6" s="103" customFormat="1" x14ac:dyDescent="0.25">
      <c r="D568" s="104"/>
      <c r="F568" s="236"/>
    </row>
    <row r="569" spans="4:6" s="103" customFormat="1" x14ac:dyDescent="0.25">
      <c r="D569" s="104"/>
      <c r="F569" s="236"/>
    </row>
    <row r="570" spans="4:6" s="103" customFormat="1" x14ac:dyDescent="0.25">
      <c r="D570" s="104"/>
      <c r="F570" s="236"/>
    </row>
    <row r="571" spans="4:6" s="103" customFormat="1" x14ac:dyDescent="0.25">
      <c r="D571" s="104"/>
      <c r="F571" s="236"/>
    </row>
    <row r="572" spans="4:6" s="103" customFormat="1" x14ac:dyDescent="0.25">
      <c r="D572" s="104"/>
      <c r="F572" s="236"/>
    </row>
    <row r="573" spans="4:6" s="103" customFormat="1" x14ac:dyDescent="0.25">
      <c r="D573" s="104"/>
      <c r="F573" s="236"/>
    </row>
    <row r="574" spans="4:6" s="103" customFormat="1" x14ac:dyDescent="0.25">
      <c r="D574" s="104"/>
      <c r="F574" s="236"/>
    </row>
    <row r="575" spans="4:6" s="103" customFormat="1" x14ac:dyDescent="0.25">
      <c r="D575" s="104"/>
      <c r="F575" s="236"/>
    </row>
    <row r="576" spans="4:6" s="103" customFormat="1" x14ac:dyDescent="0.25">
      <c r="D576" s="104"/>
      <c r="F576" s="236"/>
    </row>
    <row r="577" spans="4:6" s="103" customFormat="1" x14ac:dyDescent="0.25">
      <c r="D577" s="104"/>
      <c r="F577" s="236"/>
    </row>
    <row r="578" spans="4:6" s="103" customFormat="1" x14ac:dyDescent="0.25">
      <c r="D578" s="104"/>
      <c r="F578" s="236"/>
    </row>
    <row r="579" spans="4:6" s="103" customFormat="1" x14ac:dyDescent="0.25">
      <c r="D579" s="104"/>
      <c r="F579" s="236"/>
    </row>
    <row r="580" spans="4:6" s="103" customFormat="1" x14ac:dyDescent="0.25">
      <c r="D580" s="104"/>
      <c r="F580" s="236"/>
    </row>
    <row r="581" spans="4:6" s="103" customFormat="1" x14ac:dyDescent="0.25">
      <c r="D581" s="104"/>
      <c r="F581" s="236"/>
    </row>
    <row r="582" spans="4:6" s="103" customFormat="1" x14ac:dyDescent="0.25">
      <c r="D582" s="104"/>
      <c r="F582" s="236"/>
    </row>
    <row r="583" spans="4:6" s="103" customFormat="1" x14ac:dyDescent="0.25">
      <c r="D583" s="104"/>
      <c r="F583" s="236"/>
    </row>
    <row r="584" spans="4:6" s="103" customFormat="1" x14ac:dyDescent="0.25">
      <c r="D584" s="104"/>
      <c r="F584" s="236"/>
    </row>
    <row r="585" spans="4:6" s="103" customFormat="1" x14ac:dyDescent="0.25">
      <c r="D585" s="104"/>
      <c r="F585" s="236"/>
    </row>
    <row r="586" spans="4:6" s="103" customFormat="1" x14ac:dyDescent="0.25">
      <c r="D586" s="104"/>
      <c r="F586" s="236"/>
    </row>
    <row r="587" spans="4:6" s="103" customFormat="1" x14ac:dyDescent="0.25">
      <c r="D587" s="104"/>
      <c r="F587" s="236"/>
    </row>
    <row r="588" spans="4:6" s="103" customFormat="1" x14ac:dyDescent="0.25">
      <c r="D588" s="104"/>
      <c r="F588" s="236"/>
    </row>
    <row r="589" spans="4:6" s="103" customFormat="1" x14ac:dyDescent="0.25">
      <c r="D589" s="104"/>
      <c r="F589" s="236"/>
    </row>
    <row r="590" spans="4:6" s="103" customFormat="1" x14ac:dyDescent="0.25">
      <c r="D590" s="104"/>
      <c r="F590" s="236"/>
    </row>
    <row r="591" spans="4:6" s="103" customFormat="1" x14ac:dyDescent="0.25">
      <c r="D591" s="104"/>
      <c r="F591" s="236"/>
    </row>
    <row r="592" spans="4:6" s="103" customFormat="1" x14ac:dyDescent="0.25">
      <c r="D592" s="104"/>
      <c r="F592" s="236"/>
    </row>
    <row r="593" spans="4:6" s="103" customFormat="1" x14ac:dyDescent="0.25">
      <c r="D593" s="104"/>
      <c r="F593" s="236"/>
    </row>
    <row r="594" spans="4:6" s="103" customFormat="1" x14ac:dyDescent="0.25">
      <c r="D594" s="104"/>
      <c r="F594" s="236"/>
    </row>
    <row r="595" spans="4:6" s="103" customFormat="1" x14ac:dyDescent="0.25">
      <c r="D595" s="104"/>
      <c r="F595" s="236"/>
    </row>
    <row r="596" spans="4:6" s="103" customFormat="1" x14ac:dyDescent="0.25">
      <c r="D596" s="104"/>
      <c r="F596" s="236"/>
    </row>
    <row r="597" spans="4:6" s="103" customFormat="1" x14ac:dyDescent="0.25">
      <c r="D597" s="104"/>
      <c r="F597" s="236"/>
    </row>
    <row r="598" spans="4:6" s="103" customFormat="1" x14ac:dyDescent="0.25">
      <c r="D598" s="104"/>
      <c r="F598" s="236"/>
    </row>
    <row r="599" spans="4:6" s="103" customFormat="1" x14ac:dyDescent="0.25">
      <c r="D599" s="104"/>
      <c r="F599" s="236"/>
    </row>
    <row r="600" spans="4:6" s="103" customFormat="1" x14ac:dyDescent="0.25">
      <c r="D600" s="104"/>
      <c r="F600" s="236"/>
    </row>
    <row r="601" spans="4:6" s="103" customFormat="1" x14ac:dyDescent="0.25">
      <c r="D601" s="104"/>
      <c r="F601" s="236"/>
    </row>
    <row r="602" spans="4:6" s="103" customFormat="1" x14ac:dyDescent="0.25">
      <c r="D602" s="104"/>
      <c r="F602" s="236"/>
    </row>
    <row r="603" spans="4:6" s="103" customFormat="1" x14ac:dyDescent="0.25">
      <c r="D603" s="104"/>
      <c r="F603" s="236"/>
    </row>
    <row r="604" spans="4:6" s="103" customFormat="1" x14ac:dyDescent="0.25">
      <c r="D604" s="104"/>
      <c r="F604" s="236"/>
    </row>
    <row r="605" spans="4:6" s="103" customFormat="1" x14ac:dyDescent="0.25">
      <c r="D605" s="104"/>
      <c r="F605" s="236"/>
    </row>
    <row r="606" spans="4:6" s="103" customFormat="1" x14ac:dyDescent="0.25">
      <c r="D606" s="104"/>
      <c r="F606" s="236"/>
    </row>
    <row r="607" spans="4:6" s="103" customFormat="1" x14ac:dyDescent="0.25">
      <c r="D607" s="104"/>
      <c r="F607" s="236"/>
    </row>
    <row r="608" spans="4:6" s="103" customFormat="1" x14ac:dyDescent="0.25">
      <c r="D608" s="104"/>
      <c r="F608" s="236"/>
    </row>
    <row r="609" spans="4:6" s="103" customFormat="1" x14ac:dyDescent="0.25">
      <c r="D609" s="104"/>
      <c r="F609" s="236"/>
    </row>
    <row r="610" spans="4:6" s="103" customFormat="1" x14ac:dyDescent="0.25">
      <c r="D610" s="104"/>
      <c r="F610" s="236"/>
    </row>
    <row r="611" spans="4:6" s="103" customFormat="1" x14ac:dyDescent="0.25">
      <c r="D611" s="104"/>
      <c r="F611" s="236"/>
    </row>
    <row r="612" spans="4:6" s="103" customFormat="1" x14ac:dyDescent="0.25">
      <c r="D612" s="104"/>
      <c r="F612" s="236"/>
    </row>
    <row r="613" spans="4:6" s="103" customFormat="1" x14ac:dyDescent="0.25">
      <c r="D613" s="104"/>
      <c r="F613" s="236"/>
    </row>
    <row r="614" spans="4:6" s="103" customFormat="1" x14ac:dyDescent="0.25">
      <c r="D614" s="104"/>
      <c r="F614" s="236"/>
    </row>
    <row r="615" spans="4:6" s="103" customFormat="1" x14ac:dyDescent="0.25">
      <c r="D615" s="104"/>
      <c r="F615" s="236"/>
    </row>
    <row r="616" spans="4:6" s="103" customFormat="1" x14ac:dyDescent="0.25">
      <c r="D616" s="104"/>
      <c r="F616" s="236"/>
    </row>
    <row r="617" spans="4:6" s="103" customFormat="1" x14ac:dyDescent="0.25">
      <c r="D617" s="104"/>
      <c r="F617" s="236"/>
    </row>
    <row r="618" spans="4:6" s="103" customFormat="1" x14ac:dyDescent="0.25">
      <c r="D618" s="104"/>
      <c r="F618" s="236"/>
    </row>
    <row r="619" spans="4:6" s="103" customFormat="1" x14ac:dyDescent="0.25">
      <c r="D619" s="104"/>
      <c r="F619" s="236"/>
    </row>
    <row r="620" spans="4:6" s="103" customFormat="1" x14ac:dyDescent="0.25">
      <c r="D620" s="104"/>
      <c r="F620" s="236"/>
    </row>
    <row r="621" spans="4:6" s="103" customFormat="1" x14ac:dyDescent="0.25">
      <c r="D621" s="104"/>
      <c r="F621" s="236"/>
    </row>
    <row r="622" spans="4:6" s="103" customFormat="1" x14ac:dyDescent="0.25">
      <c r="D622" s="104"/>
      <c r="F622" s="236"/>
    </row>
    <row r="623" spans="4:6" s="103" customFormat="1" x14ac:dyDescent="0.25">
      <c r="D623" s="104"/>
      <c r="F623" s="236"/>
    </row>
    <row r="624" spans="4:6" s="103" customFormat="1" x14ac:dyDescent="0.25">
      <c r="D624" s="104"/>
      <c r="F624" s="236"/>
    </row>
    <row r="625" spans="4:6" s="103" customFormat="1" x14ac:dyDescent="0.25">
      <c r="D625" s="104"/>
      <c r="F625" s="236"/>
    </row>
    <row r="626" spans="4:6" s="103" customFormat="1" x14ac:dyDescent="0.25">
      <c r="D626" s="104"/>
      <c r="F626" s="236"/>
    </row>
    <row r="627" spans="4:6" s="103" customFormat="1" x14ac:dyDescent="0.25">
      <c r="D627" s="104"/>
      <c r="F627" s="236"/>
    </row>
    <row r="628" spans="4:6" s="103" customFormat="1" x14ac:dyDescent="0.25">
      <c r="D628" s="104"/>
      <c r="F628" s="236"/>
    </row>
    <row r="629" spans="4:6" s="103" customFormat="1" x14ac:dyDescent="0.25">
      <c r="D629" s="104"/>
      <c r="F629" s="236"/>
    </row>
    <row r="630" spans="4:6" s="103" customFormat="1" x14ac:dyDescent="0.25">
      <c r="D630" s="104"/>
      <c r="F630" s="236"/>
    </row>
    <row r="631" spans="4:6" s="103" customFormat="1" x14ac:dyDescent="0.25">
      <c r="D631" s="104"/>
      <c r="F631" s="236"/>
    </row>
    <row r="632" spans="4:6" s="103" customFormat="1" x14ac:dyDescent="0.25">
      <c r="D632" s="104"/>
      <c r="F632" s="236"/>
    </row>
    <row r="633" spans="4:6" s="103" customFormat="1" x14ac:dyDescent="0.25">
      <c r="D633" s="104"/>
      <c r="F633" s="236"/>
    </row>
    <row r="634" spans="4:6" s="103" customFormat="1" x14ac:dyDescent="0.25">
      <c r="D634" s="104"/>
      <c r="F634" s="236"/>
    </row>
    <row r="635" spans="4:6" s="103" customFormat="1" x14ac:dyDescent="0.25">
      <c r="D635" s="104"/>
      <c r="F635" s="236"/>
    </row>
    <row r="636" spans="4:6" s="103" customFormat="1" x14ac:dyDescent="0.25">
      <c r="D636" s="104"/>
      <c r="F636" s="236"/>
    </row>
    <row r="637" spans="4:6" s="103" customFormat="1" x14ac:dyDescent="0.25">
      <c r="D637" s="104"/>
      <c r="F637" s="236"/>
    </row>
    <row r="638" spans="4:6" s="103" customFormat="1" x14ac:dyDescent="0.25">
      <c r="D638" s="104"/>
      <c r="F638" s="236"/>
    </row>
    <row r="639" spans="4:6" s="103" customFormat="1" x14ac:dyDescent="0.25">
      <c r="D639" s="104"/>
      <c r="F639" s="236"/>
    </row>
    <row r="640" spans="4:6" s="103" customFormat="1" x14ac:dyDescent="0.25">
      <c r="D640" s="104"/>
      <c r="F640" s="236"/>
    </row>
    <row r="641" spans="4:6" s="103" customFormat="1" x14ac:dyDescent="0.25">
      <c r="D641" s="104"/>
      <c r="F641" s="236"/>
    </row>
    <row r="642" spans="4:6" s="103" customFormat="1" x14ac:dyDescent="0.25">
      <c r="D642" s="104"/>
      <c r="F642" s="236"/>
    </row>
    <row r="643" spans="4:6" s="103" customFormat="1" x14ac:dyDescent="0.25">
      <c r="D643" s="104"/>
      <c r="F643" s="236"/>
    </row>
    <row r="644" spans="4:6" s="103" customFormat="1" x14ac:dyDescent="0.25">
      <c r="D644" s="104"/>
      <c r="F644" s="236"/>
    </row>
    <row r="645" spans="4:6" s="103" customFormat="1" x14ac:dyDescent="0.25">
      <c r="D645" s="104"/>
      <c r="F645" s="236"/>
    </row>
    <row r="646" spans="4:6" s="103" customFormat="1" x14ac:dyDescent="0.25">
      <c r="D646" s="104"/>
      <c r="F646" s="236"/>
    </row>
    <row r="647" spans="4:6" s="103" customFormat="1" x14ac:dyDescent="0.25">
      <c r="D647" s="104"/>
      <c r="F647" s="236"/>
    </row>
    <row r="648" spans="4:6" s="103" customFormat="1" x14ac:dyDescent="0.25">
      <c r="D648" s="104"/>
      <c r="F648" s="236"/>
    </row>
    <row r="649" spans="4:6" s="103" customFormat="1" x14ac:dyDescent="0.25">
      <c r="D649" s="104"/>
      <c r="F649" s="236"/>
    </row>
    <row r="650" spans="4:6" s="103" customFormat="1" x14ac:dyDescent="0.25">
      <c r="D650" s="104"/>
      <c r="F650" s="236"/>
    </row>
    <row r="651" spans="4:6" s="103" customFormat="1" x14ac:dyDescent="0.25">
      <c r="D651" s="104"/>
      <c r="F651" s="236"/>
    </row>
    <row r="652" spans="4:6" s="103" customFormat="1" x14ac:dyDescent="0.25">
      <c r="D652" s="104"/>
      <c r="F652" s="236"/>
    </row>
    <row r="653" spans="4:6" s="103" customFormat="1" x14ac:dyDescent="0.25">
      <c r="D653" s="104"/>
      <c r="F653" s="236"/>
    </row>
    <row r="654" spans="4:6" s="103" customFormat="1" x14ac:dyDescent="0.25">
      <c r="D654" s="104"/>
      <c r="F654" s="236"/>
    </row>
    <row r="655" spans="4:6" s="103" customFormat="1" x14ac:dyDescent="0.25">
      <c r="D655" s="104"/>
      <c r="F655" s="236"/>
    </row>
    <row r="656" spans="4:6" s="103" customFormat="1" x14ac:dyDescent="0.25">
      <c r="D656" s="104"/>
      <c r="F656" s="236"/>
    </row>
    <row r="657" spans="4:6" s="103" customFormat="1" x14ac:dyDescent="0.25">
      <c r="D657" s="104"/>
      <c r="F657" s="236"/>
    </row>
    <row r="658" spans="4:6" s="103" customFormat="1" x14ac:dyDescent="0.25">
      <c r="D658" s="104"/>
      <c r="F658" s="236"/>
    </row>
    <row r="659" spans="4:6" s="103" customFormat="1" x14ac:dyDescent="0.25">
      <c r="D659" s="104"/>
      <c r="F659" s="236"/>
    </row>
    <row r="660" spans="4:6" s="103" customFormat="1" x14ac:dyDescent="0.25">
      <c r="D660" s="104"/>
      <c r="F660" s="236"/>
    </row>
    <row r="661" spans="4:6" s="103" customFormat="1" x14ac:dyDescent="0.25">
      <c r="D661" s="104"/>
      <c r="F661" s="236"/>
    </row>
    <row r="662" spans="4:6" s="103" customFormat="1" x14ac:dyDescent="0.25">
      <c r="D662" s="104"/>
      <c r="F662" s="236"/>
    </row>
    <row r="663" spans="4:6" s="103" customFormat="1" x14ac:dyDescent="0.25">
      <c r="D663" s="104"/>
      <c r="F663" s="236"/>
    </row>
    <row r="664" spans="4:6" s="103" customFormat="1" x14ac:dyDescent="0.25">
      <c r="D664" s="104"/>
      <c r="F664" s="236"/>
    </row>
    <row r="665" spans="4:6" s="103" customFormat="1" x14ac:dyDescent="0.25">
      <c r="D665" s="104"/>
      <c r="F665" s="236"/>
    </row>
    <row r="666" spans="4:6" s="103" customFormat="1" x14ac:dyDescent="0.25">
      <c r="D666" s="104"/>
      <c r="F666" s="236"/>
    </row>
    <row r="667" spans="4:6" s="103" customFormat="1" x14ac:dyDescent="0.25">
      <c r="D667" s="104"/>
      <c r="F667" s="236"/>
    </row>
    <row r="668" spans="4:6" s="103" customFormat="1" x14ac:dyDescent="0.25">
      <c r="D668" s="104"/>
      <c r="F668" s="236"/>
    </row>
    <row r="669" spans="4:6" s="103" customFormat="1" x14ac:dyDescent="0.25">
      <c r="D669" s="104"/>
      <c r="F669" s="236"/>
    </row>
    <row r="670" spans="4:6" s="103" customFormat="1" x14ac:dyDescent="0.25">
      <c r="D670" s="104"/>
      <c r="F670" s="236"/>
    </row>
    <row r="671" spans="4:6" s="103" customFormat="1" x14ac:dyDescent="0.25">
      <c r="D671" s="104"/>
      <c r="F671" s="236"/>
    </row>
    <row r="672" spans="4:6" s="103" customFormat="1" x14ac:dyDescent="0.25">
      <c r="D672" s="104"/>
      <c r="F672" s="236"/>
    </row>
    <row r="673" spans="4:6" s="103" customFormat="1" x14ac:dyDescent="0.25">
      <c r="D673" s="104"/>
      <c r="F673" s="236"/>
    </row>
    <row r="674" spans="4:6" s="103" customFormat="1" x14ac:dyDescent="0.25">
      <c r="D674" s="104"/>
      <c r="F674" s="236"/>
    </row>
    <row r="675" spans="4:6" s="103" customFormat="1" x14ac:dyDescent="0.25">
      <c r="D675" s="104"/>
      <c r="F675" s="236"/>
    </row>
    <row r="676" spans="4:6" s="103" customFormat="1" x14ac:dyDescent="0.25">
      <c r="D676" s="104"/>
      <c r="F676" s="236"/>
    </row>
    <row r="677" spans="4:6" s="103" customFormat="1" x14ac:dyDescent="0.25">
      <c r="D677" s="104"/>
      <c r="F677" s="236"/>
    </row>
    <row r="678" spans="4:6" s="103" customFormat="1" x14ac:dyDescent="0.25">
      <c r="D678" s="104"/>
      <c r="F678" s="236"/>
    </row>
    <row r="679" spans="4:6" s="103" customFormat="1" x14ac:dyDescent="0.25">
      <c r="D679" s="104"/>
      <c r="F679" s="236"/>
    </row>
    <row r="680" spans="4:6" s="103" customFormat="1" x14ac:dyDescent="0.25">
      <c r="D680" s="104"/>
      <c r="F680" s="236"/>
    </row>
    <row r="681" spans="4:6" s="103" customFormat="1" x14ac:dyDescent="0.25">
      <c r="D681" s="104"/>
      <c r="F681" s="236"/>
    </row>
    <row r="682" spans="4:6" s="103" customFormat="1" x14ac:dyDescent="0.25">
      <c r="D682" s="104"/>
      <c r="F682" s="236"/>
    </row>
    <row r="683" spans="4:6" s="103" customFormat="1" x14ac:dyDescent="0.25">
      <c r="D683" s="104"/>
      <c r="F683" s="236"/>
    </row>
    <row r="684" spans="4:6" s="103" customFormat="1" x14ac:dyDescent="0.25">
      <c r="D684" s="104"/>
      <c r="F684" s="236"/>
    </row>
    <row r="685" spans="4:6" s="103" customFormat="1" x14ac:dyDescent="0.25">
      <c r="D685" s="104"/>
      <c r="F685" s="236"/>
    </row>
    <row r="686" spans="4:6" s="103" customFormat="1" x14ac:dyDescent="0.25">
      <c r="D686" s="104"/>
      <c r="F686" s="236"/>
    </row>
    <row r="687" spans="4:6" s="103" customFormat="1" x14ac:dyDescent="0.25">
      <c r="D687" s="104"/>
      <c r="F687" s="236"/>
    </row>
    <row r="688" spans="4:6" s="103" customFormat="1" x14ac:dyDescent="0.25">
      <c r="D688" s="104"/>
      <c r="F688" s="236"/>
    </row>
    <row r="689" spans="4:6" s="103" customFormat="1" x14ac:dyDescent="0.25">
      <c r="D689" s="104"/>
      <c r="F689" s="236"/>
    </row>
    <row r="690" spans="4:6" s="103" customFormat="1" x14ac:dyDescent="0.25">
      <c r="D690" s="104"/>
      <c r="F690" s="236"/>
    </row>
    <row r="691" spans="4:6" s="103" customFormat="1" x14ac:dyDescent="0.25">
      <c r="D691" s="104"/>
      <c r="F691" s="236"/>
    </row>
    <row r="692" spans="4:6" s="103" customFormat="1" x14ac:dyDescent="0.25">
      <c r="D692" s="104"/>
      <c r="F692" s="236"/>
    </row>
    <row r="693" spans="4:6" s="103" customFormat="1" x14ac:dyDescent="0.25">
      <c r="D693" s="104"/>
      <c r="F693" s="236"/>
    </row>
    <row r="694" spans="4:6" s="103" customFormat="1" x14ac:dyDescent="0.25">
      <c r="D694" s="104"/>
      <c r="F694" s="236"/>
    </row>
    <row r="695" spans="4:6" s="103" customFormat="1" x14ac:dyDescent="0.25">
      <c r="D695" s="104"/>
      <c r="F695" s="236"/>
    </row>
    <row r="696" spans="4:6" s="103" customFormat="1" x14ac:dyDescent="0.25">
      <c r="D696" s="104"/>
      <c r="F696" s="236"/>
    </row>
    <row r="697" spans="4:6" s="103" customFormat="1" x14ac:dyDescent="0.25">
      <c r="D697" s="104"/>
      <c r="F697" s="236"/>
    </row>
    <row r="698" spans="4:6" s="103" customFormat="1" x14ac:dyDescent="0.25">
      <c r="D698" s="104"/>
      <c r="F698" s="236"/>
    </row>
    <row r="699" spans="4:6" s="103" customFormat="1" x14ac:dyDescent="0.25">
      <c r="D699" s="104"/>
      <c r="F699" s="236"/>
    </row>
    <row r="700" spans="4:6" s="103" customFormat="1" x14ac:dyDescent="0.25">
      <c r="D700" s="104"/>
      <c r="F700" s="236"/>
    </row>
    <row r="701" spans="4:6" s="103" customFormat="1" x14ac:dyDescent="0.25">
      <c r="D701" s="104"/>
      <c r="F701" s="236"/>
    </row>
    <row r="702" spans="4:6" s="103" customFormat="1" x14ac:dyDescent="0.25">
      <c r="D702" s="104"/>
      <c r="F702" s="236"/>
    </row>
    <row r="703" spans="4:6" s="103" customFormat="1" x14ac:dyDescent="0.25">
      <c r="D703" s="104"/>
      <c r="F703" s="236"/>
    </row>
    <row r="704" spans="4:6" s="103" customFormat="1" x14ac:dyDescent="0.25">
      <c r="D704" s="104"/>
      <c r="F704" s="236"/>
    </row>
    <row r="705" spans="4:6" s="103" customFormat="1" x14ac:dyDescent="0.25">
      <c r="D705" s="104"/>
      <c r="F705" s="236"/>
    </row>
    <row r="706" spans="4:6" s="103" customFormat="1" x14ac:dyDescent="0.25">
      <c r="D706" s="104"/>
      <c r="F706" s="236"/>
    </row>
    <row r="707" spans="4:6" s="103" customFormat="1" x14ac:dyDescent="0.25">
      <c r="D707" s="104"/>
      <c r="F707" s="236"/>
    </row>
    <row r="708" spans="4:6" s="103" customFormat="1" x14ac:dyDescent="0.25">
      <c r="D708" s="104"/>
      <c r="F708" s="236"/>
    </row>
    <row r="709" spans="4:6" s="103" customFormat="1" x14ac:dyDescent="0.25">
      <c r="D709" s="104"/>
      <c r="F709" s="236"/>
    </row>
    <row r="710" spans="4:6" s="103" customFormat="1" x14ac:dyDescent="0.25">
      <c r="D710" s="104"/>
      <c r="F710" s="236"/>
    </row>
    <row r="711" spans="4:6" s="103" customFormat="1" x14ac:dyDescent="0.25">
      <c r="D711" s="104"/>
      <c r="F711" s="236"/>
    </row>
    <row r="712" spans="4:6" s="103" customFormat="1" x14ac:dyDescent="0.25">
      <c r="D712" s="104"/>
      <c r="F712" s="236"/>
    </row>
    <row r="713" spans="4:6" s="103" customFormat="1" x14ac:dyDescent="0.25">
      <c r="D713" s="104"/>
      <c r="F713" s="236"/>
    </row>
    <row r="714" spans="4:6" s="103" customFormat="1" x14ac:dyDescent="0.25">
      <c r="D714" s="104"/>
      <c r="F714" s="236"/>
    </row>
    <row r="715" spans="4:6" s="103" customFormat="1" x14ac:dyDescent="0.25">
      <c r="D715" s="104"/>
      <c r="F715" s="236"/>
    </row>
    <row r="716" spans="4:6" s="103" customFormat="1" x14ac:dyDescent="0.25">
      <c r="D716" s="104"/>
      <c r="F716" s="236"/>
    </row>
    <row r="717" spans="4:6" s="103" customFormat="1" x14ac:dyDescent="0.25">
      <c r="D717" s="104"/>
      <c r="F717" s="236"/>
    </row>
    <row r="718" spans="4:6" s="103" customFormat="1" x14ac:dyDescent="0.25">
      <c r="D718" s="104"/>
      <c r="F718" s="236"/>
    </row>
    <row r="719" spans="4:6" s="103" customFormat="1" x14ac:dyDescent="0.25">
      <c r="D719" s="104"/>
      <c r="F719" s="236"/>
    </row>
    <row r="720" spans="4:6" s="103" customFormat="1" x14ac:dyDescent="0.25">
      <c r="D720" s="104"/>
      <c r="F720" s="236"/>
    </row>
    <row r="721" spans="4:6" s="103" customFormat="1" x14ac:dyDescent="0.25">
      <c r="D721" s="104"/>
      <c r="F721" s="236"/>
    </row>
    <row r="722" spans="4:6" s="103" customFormat="1" x14ac:dyDescent="0.25">
      <c r="D722" s="104"/>
      <c r="F722" s="236"/>
    </row>
    <row r="723" spans="4:6" s="103" customFormat="1" x14ac:dyDescent="0.25">
      <c r="D723" s="104"/>
      <c r="F723" s="236"/>
    </row>
    <row r="724" spans="4:6" s="103" customFormat="1" x14ac:dyDescent="0.25">
      <c r="D724" s="104"/>
      <c r="F724" s="236"/>
    </row>
    <row r="725" spans="4:6" s="103" customFormat="1" x14ac:dyDescent="0.25">
      <c r="D725" s="104"/>
      <c r="F725" s="236"/>
    </row>
    <row r="726" spans="4:6" s="103" customFormat="1" x14ac:dyDescent="0.25">
      <c r="D726" s="104"/>
      <c r="F726" s="236"/>
    </row>
    <row r="727" spans="4:6" s="103" customFormat="1" x14ac:dyDescent="0.25">
      <c r="D727" s="104"/>
      <c r="F727" s="236"/>
    </row>
    <row r="728" spans="4:6" s="103" customFormat="1" x14ac:dyDescent="0.25">
      <c r="D728" s="104"/>
      <c r="F728" s="236"/>
    </row>
    <row r="729" spans="4:6" s="103" customFormat="1" x14ac:dyDescent="0.25">
      <c r="D729" s="104"/>
      <c r="F729" s="236"/>
    </row>
    <row r="730" spans="4:6" s="103" customFormat="1" x14ac:dyDescent="0.25">
      <c r="D730" s="104"/>
      <c r="F730" s="236"/>
    </row>
    <row r="731" spans="4:6" s="103" customFormat="1" x14ac:dyDescent="0.25">
      <c r="D731" s="104"/>
      <c r="F731" s="236"/>
    </row>
    <row r="732" spans="4:6" s="103" customFormat="1" x14ac:dyDescent="0.25">
      <c r="D732" s="104"/>
      <c r="F732" s="236"/>
    </row>
    <row r="733" spans="4:6" s="103" customFormat="1" x14ac:dyDescent="0.25">
      <c r="D733" s="104"/>
      <c r="F733" s="236"/>
    </row>
    <row r="734" spans="4:6" s="103" customFormat="1" x14ac:dyDescent="0.25">
      <c r="D734" s="104"/>
      <c r="F734" s="236"/>
    </row>
    <row r="735" spans="4:6" s="103" customFormat="1" x14ac:dyDescent="0.25">
      <c r="D735" s="104"/>
      <c r="F735" s="236"/>
    </row>
    <row r="736" spans="4:6" s="103" customFormat="1" x14ac:dyDescent="0.25">
      <c r="D736" s="104"/>
      <c r="F736" s="236"/>
    </row>
    <row r="737" spans="4:6" s="103" customFormat="1" x14ac:dyDescent="0.25">
      <c r="D737" s="104"/>
      <c r="F737" s="236"/>
    </row>
    <row r="738" spans="4:6" s="103" customFormat="1" x14ac:dyDescent="0.25">
      <c r="D738" s="104"/>
      <c r="F738" s="236"/>
    </row>
    <row r="739" spans="4:6" s="103" customFormat="1" x14ac:dyDescent="0.25">
      <c r="D739" s="104"/>
      <c r="F739" s="236"/>
    </row>
    <row r="740" spans="4:6" s="103" customFormat="1" x14ac:dyDescent="0.25">
      <c r="D740" s="104"/>
      <c r="F740" s="236"/>
    </row>
    <row r="741" spans="4:6" s="103" customFormat="1" x14ac:dyDescent="0.25">
      <c r="D741" s="104"/>
      <c r="F741" s="236"/>
    </row>
    <row r="742" spans="4:6" s="103" customFormat="1" x14ac:dyDescent="0.25">
      <c r="D742" s="104"/>
      <c r="F742" s="236"/>
    </row>
    <row r="743" spans="4:6" s="103" customFormat="1" x14ac:dyDescent="0.25">
      <c r="D743" s="104"/>
      <c r="F743" s="236"/>
    </row>
    <row r="744" spans="4:6" s="103" customFormat="1" x14ac:dyDescent="0.25">
      <c r="D744" s="104"/>
      <c r="F744" s="236"/>
    </row>
    <row r="745" spans="4:6" s="103" customFormat="1" x14ac:dyDescent="0.25">
      <c r="D745" s="104"/>
      <c r="F745" s="236"/>
    </row>
    <row r="746" spans="4:6" s="103" customFormat="1" x14ac:dyDescent="0.25">
      <c r="D746" s="104"/>
      <c r="F746" s="236"/>
    </row>
    <row r="747" spans="4:6" s="103" customFormat="1" x14ac:dyDescent="0.25">
      <c r="D747" s="104"/>
      <c r="F747" s="236"/>
    </row>
    <row r="748" spans="4:6" s="103" customFormat="1" x14ac:dyDescent="0.25">
      <c r="D748" s="104"/>
      <c r="F748" s="236"/>
    </row>
    <row r="749" spans="4:6" s="103" customFormat="1" x14ac:dyDescent="0.25">
      <c r="D749" s="104"/>
      <c r="F749" s="236"/>
    </row>
    <row r="750" spans="4:6" s="103" customFormat="1" x14ac:dyDescent="0.25">
      <c r="D750" s="104"/>
      <c r="F750" s="236"/>
    </row>
    <row r="751" spans="4:6" s="103" customFormat="1" x14ac:dyDescent="0.25">
      <c r="D751" s="104"/>
      <c r="F751" s="236"/>
    </row>
    <row r="752" spans="4:6" s="103" customFormat="1" x14ac:dyDescent="0.25">
      <c r="D752" s="104"/>
      <c r="F752" s="236"/>
    </row>
    <row r="753" spans="4:6" s="103" customFormat="1" x14ac:dyDescent="0.25">
      <c r="D753" s="104"/>
      <c r="F753" s="236"/>
    </row>
    <row r="754" spans="4:6" s="103" customFormat="1" x14ac:dyDescent="0.25">
      <c r="D754" s="104"/>
      <c r="F754" s="236"/>
    </row>
    <row r="755" spans="4:6" s="103" customFormat="1" x14ac:dyDescent="0.25">
      <c r="D755" s="104"/>
      <c r="F755" s="236"/>
    </row>
    <row r="756" spans="4:6" s="103" customFormat="1" x14ac:dyDescent="0.25">
      <c r="D756" s="104"/>
      <c r="F756" s="236"/>
    </row>
    <row r="757" spans="4:6" s="103" customFormat="1" x14ac:dyDescent="0.25">
      <c r="D757" s="104"/>
      <c r="F757" s="236"/>
    </row>
    <row r="758" spans="4:6" s="103" customFormat="1" x14ac:dyDescent="0.25">
      <c r="D758" s="104"/>
      <c r="F758" s="236"/>
    </row>
    <row r="759" spans="4:6" s="103" customFormat="1" x14ac:dyDescent="0.25">
      <c r="D759" s="104"/>
      <c r="F759" s="236"/>
    </row>
    <row r="760" spans="4:6" s="103" customFormat="1" x14ac:dyDescent="0.25">
      <c r="D760" s="104"/>
      <c r="F760" s="236"/>
    </row>
    <row r="761" spans="4:6" s="103" customFormat="1" x14ac:dyDescent="0.25">
      <c r="D761" s="104"/>
      <c r="F761" s="236"/>
    </row>
    <row r="762" spans="4:6" s="103" customFormat="1" x14ac:dyDescent="0.25">
      <c r="D762" s="104"/>
      <c r="F762" s="236"/>
    </row>
    <row r="763" spans="4:6" s="103" customFormat="1" x14ac:dyDescent="0.25">
      <c r="D763" s="104"/>
      <c r="F763" s="236"/>
    </row>
    <row r="764" spans="4:6" s="103" customFormat="1" x14ac:dyDescent="0.25">
      <c r="D764" s="104"/>
      <c r="F764" s="236"/>
    </row>
    <row r="765" spans="4:6" s="103" customFormat="1" x14ac:dyDescent="0.25">
      <c r="D765" s="104"/>
      <c r="F765" s="236"/>
    </row>
    <row r="766" spans="4:6" s="103" customFormat="1" x14ac:dyDescent="0.25">
      <c r="D766" s="104"/>
      <c r="F766" s="236"/>
    </row>
    <row r="767" spans="4:6" s="103" customFormat="1" x14ac:dyDescent="0.25">
      <c r="D767" s="104"/>
      <c r="F767" s="236"/>
    </row>
    <row r="768" spans="4:6" s="103" customFormat="1" x14ac:dyDescent="0.25">
      <c r="D768" s="104"/>
      <c r="F768" s="236"/>
    </row>
    <row r="769" spans="4:6" s="103" customFormat="1" x14ac:dyDescent="0.25">
      <c r="D769" s="104"/>
      <c r="F769" s="236"/>
    </row>
    <row r="770" spans="4:6" s="103" customFormat="1" x14ac:dyDescent="0.25">
      <c r="D770" s="104"/>
      <c r="F770" s="236"/>
    </row>
    <row r="771" spans="4:6" s="103" customFormat="1" x14ac:dyDescent="0.25">
      <c r="D771" s="104"/>
      <c r="F771" s="236"/>
    </row>
    <row r="772" spans="4:6" s="103" customFormat="1" x14ac:dyDescent="0.25">
      <c r="D772" s="104"/>
      <c r="F772" s="236"/>
    </row>
    <row r="773" spans="4:6" s="103" customFormat="1" x14ac:dyDescent="0.25">
      <c r="D773" s="104"/>
      <c r="F773" s="236"/>
    </row>
    <row r="774" spans="4:6" s="103" customFormat="1" x14ac:dyDescent="0.25">
      <c r="D774" s="104"/>
      <c r="F774" s="236"/>
    </row>
    <row r="775" spans="4:6" s="103" customFormat="1" x14ac:dyDescent="0.25">
      <c r="D775" s="104"/>
      <c r="F775" s="236"/>
    </row>
    <row r="776" spans="4:6" s="103" customFormat="1" x14ac:dyDescent="0.25">
      <c r="D776" s="104"/>
      <c r="F776" s="236"/>
    </row>
    <row r="777" spans="4:6" s="103" customFormat="1" x14ac:dyDescent="0.25">
      <c r="D777" s="104"/>
      <c r="F777" s="236"/>
    </row>
    <row r="778" spans="4:6" s="103" customFormat="1" x14ac:dyDescent="0.25">
      <c r="D778" s="104"/>
      <c r="F778" s="236"/>
    </row>
    <row r="779" spans="4:6" s="103" customFormat="1" x14ac:dyDescent="0.25">
      <c r="D779" s="104"/>
      <c r="F779" s="236"/>
    </row>
    <row r="780" spans="4:6" s="103" customFormat="1" x14ac:dyDescent="0.25">
      <c r="D780" s="104"/>
      <c r="F780" s="236"/>
    </row>
    <row r="781" spans="4:6" s="103" customFormat="1" x14ac:dyDescent="0.25">
      <c r="D781" s="104"/>
      <c r="F781" s="236"/>
    </row>
    <row r="782" spans="4:6" s="103" customFormat="1" x14ac:dyDescent="0.25">
      <c r="D782" s="104"/>
      <c r="F782" s="236"/>
    </row>
    <row r="783" spans="4:6" s="103" customFormat="1" x14ac:dyDescent="0.25">
      <c r="D783" s="104"/>
      <c r="F783" s="236"/>
    </row>
    <row r="784" spans="4:6" s="103" customFormat="1" x14ac:dyDescent="0.25">
      <c r="D784" s="104"/>
      <c r="F784" s="236"/>
    </row>
    <row r="785" spans="4:6" s="103" customFormat="1" x14ac:dyDescent="0.25">
      <c r="D785" s="104"/>
      <c r="F785" s="236"/>
    </row>
    <row r="786" spans="4:6" s="103" customFormat="1" x14ac:dyDescent="0.25">
      <c r="D786" s="104"/>
      <c r="F786" s="236"/>
    </row>
    <row r="787" spans="4:6" s="103" customFormat="1" x14ac:dyDescent="0.25">
      <c r="D787" s="104"/>
      <c r="F787" s="236"/>
    </row>
    <row r="788" spans="4:6" s="103" customFormat="1" x14ac:dyDescent="0.25">
      <c r="D788" s="104"/>
      <c r="F788" s="236"/>
    </row>
    <row r="789" spans="4:6" s="103" customFormat="1" x14ac:dyDescent="0.25">
      <c r="D789" s="104"/>
      <c r="F789" s="236"/>
    </row>
    <row r="790" spans="4:6" s="103" customFormat="1" x14ac:dyDescent="0.25">
      <c r="D790" s="104"/>
      <c r="F790" s="236"/>
    </row>
    <row r="791" spans="4:6" s="103" customFormat="1" x14ac:dyDescent="0.25">
      <c r="D791" s="104"/>
      <c r="F791" s="236"/>
    </row>
    <row r="792" spans="4:6" s="103" customFormat="1" x14ac:dyDescent="0.25">
      <c r="D792" s="104"/>
      <c r="F792" s="236"/>
    </row>
    <row r="793" spans="4:6" s="103" customFormat="1" x14ac:dyDescent="0.25">
      <c r="D793" s="104"/>
      <c r="F793" s="236"/>
    </row>
    <row r="794" spans="4:6" s="103" customFormat="1" x14ac:dyDescent="0.25">
      <c r="D794" s="104"/>
      <c r="F794" s="236"/>
    </row>
    <row r="795" spans="4:6" s="103" customFormat="1" x14ac:dyDescent="0.25">
      <c r="D795" s="104"/>
      <c r="F795" s="236"/>
    </row>
    <row r="796" spans="4:6" s="103" customFormat="1" x14ac:dyDescent="0.25">
      <c r="D796" s="104"/>
      <c r="F796" s="236"/>
    </row>
    <row r="797" spans="4:6" s="103" customFormat="1" x14ac:dyDescent="0.25">
      <c r="D797" s="104"/>
      <c r="F797" s="236"/>
    </row>
    <row r="798" spans="4:6" s="103" customFormat="1" x14ac:dyDescent="0.25">
      <c r="D798" s="104"/>
      <c r="F798" s="236"/>
    </row>
    <row r="799" spans="4:6" s="103" customFormat="1" x14ac:dyDescent="0.25">
      <c r="D799" s="104"/>
      <c r="F799" s="236"/>
    </row>
    <row r="800" spans="4:6" s="103" customFormat="1" x14ac:dyDescent="0.25">
      <c r="D800" s="104"/>
      <c r="F800" s="236"/>
    </row>
    <row r="801" spans="4:6" s="103" customFormat="1" x14ac:dyDescent="0.25">
      <c r="D801" s="104"/>
      <c r="F801" s="236"/>
    </row>
    <row r="802" spans="4:6" s="103" customFormat="1" x14ac:dyDescent="0.25">
      <c r="D802" s="104"/>
      <c r="F802" s="236"/>
    </row>
    <row r="803" spans="4:6" s="103" customFormat="1" x14ac:dyDescent="0.25">
      <c r="D803" s="104"/>
      <c r="F803" s="236"/>
    </row>
    <row r="804" spans="4:6" s="103" customFormat="1" x14ac:dyDescent="0.25">
      <c r="D804" s="104"/>
      <c r="F804" s="236"/>
    </row>
    <row r="805" spans="4:6" s="103" customFormat="1" x14ac:dyDescent="0.25">
      <c r="D805" s="104"/>
      <c r="F805" s="236"/>
    </row>
    <row r="806" spans="4:6" s="103" customFormat="1" x14ac:dyDescent="0.25">
      <c r="D806" s="104"/>
      <c r="F806" s="236"/>
    </row>
    <row r="807" spans="4:6" s="103" customFormat="1" x14ac:dyDescent="0.25">
      <c r="D807" s="104"/>
      <c r="F807" s="236"/>
    </row>
    <row r="808" spans="4:6" s="103" customFormat="1" x14ac:dyDescent="0.25">
      <c r="D808" s="104"/>
      <c r="F808" s="236"/>
    </row>
    <row r="809" spans="4:6" s="103" customFormat="1" x14ac:dyDescent="0.25">
      <c r="D809" s="104"/>
      <c r="F809" s="236"/>
    </row>
    <row r="810" spans="4:6" s="103" customFormat="1" x14ac:dyDescent="0.25">
      <c r="D810" s="104"/>
      <c r="F810" s="236"/>
    </row>
    <row r="811" spans="4:6" s="103" customFormat="1" x14ac:dyDescent="0.25">
      <c r="D811" s="104"/>
      <c r="F811" s="236"/>
    </row>
    <row r="812" spans="4:6" s="103" customFormat="1" x14ac:dyDescent="0.25">
      <c r="D812" s="104"/>
      <c r="F812" s="236"/>
    </row>
    <row r="813" spans="4:6" s="103" customFormat="1" x14ac:dyDescent="0.25">
      <c r="D813" s="104"/>
      <c r="F813" s="236"/>
    </row>
    <row r="814" spans="4:6" s="103" customFormat="1" x14ac:dyDescent="0.25">
      <c r="D814" s="104"/>
      <c r="F814" s="236"/>
    </row>
    <row r="815" spans="4:6" s="103" customFormat="1" x14ac:dyDescent="0.25">
      <c r="D815" s="104"/>
      <c r="F815" s="236"/>
    </row>
    <row r="816" spans="4:6" s="103" customFormat="1" x14ac:dyDescent="0.25">
      <c r="D816" s="104"/>
      <c r="F816" s="236"/>
    </row>
    <row r="817" spans="4:6" s="103" customFormat="1" x14ac:dyDescent="0.25">
      <c r="D817" s="104"/>
      <c r="F817" s="236"/>
    </row>
    <row r="818" spans="4:6" s="103" customFormat="1" x14ac:dyDescent="0.25">
      <c r="D818" s="104"/>
      <c r="F818" s="236"/>
    </row>
    <row r="819" spans="4:6" s="103" customFormat="1" x14ac:dyDescent="0.25">
      <c r="D819" s="104"/>
      <c r="F819" s="236"/>
    </row>
    <row r="820" spans="4:6" s="103" customFormat="1" x14ac:dyDescent="0.25">
      <c r="D820" s="104"/>
      <c r="F820" s="236"/>
    </row>
    <row r="821" spans="4:6" s="103" customFormat="1" x14ac:dyDescent="0.25">
      <c r="D821" s="104"/>
      <c r="F821" s="236"/>
    </row>
    <row r="822" spans="4:6" s="103" customFormat="1" x14ac:dyDescent="0.25">
      <c r="D822" s="104"/>
      <c r="F822" s="236"/>
    </row>
    <row r="823" spans="4:6" s="103" customFormat="1" x14ac:dyDescent="0.25">
      <c r="D823" s="104"/>
      <c r="F823" s="236"/>
    </row>
    <row r="824" spans="4:6" s="103" customFormat="1" x14ac:dyDescent="0.25">
      <c r="D824" s="104"/>
      <c r="F824" s="236"/>
    </row>
    <row r="825" spans="4:6" s="103" customFormat="1" x14ac:dyDescent="0.25">
      <c r="D825" s="104"/>
      <c r="F825" s="236"/>
    </row>
    <row r="826" spans="4:6" s="103" customFormat="1" x14ac:dyDescent="0.25">
      <c r="D826" s="104"/>
      <c r="F826" s="236"/>
    </row>
    <row r="827" spans="4:6" s="103" customFormat="1" x14ac:dyDescent="0.25">
      <c r="D827" s="104"/>
      <c r="F827" s="236"/>
    </row>
    <row r="828" spans="4:6" s="103" customFormat="1" x14ac:dyDescent="0.25">
      <c r="D828" s="104"/>
      <c r="F828" s="236"/>
    </row>
    <row r="829" spans="4:6" s="103" customFormat="1" x14ac:dyDescent="0.25">
      <c r="D829" s="104"/>
      <c r="F829" s="236"/>
    </row>
    <row r="830" spans="4:6" s="103" customFormat="1" x14ac:dyDescent="0.25">
      <c r="D830" s="104"/>
      <c r="F830" s="236"/>
    </row>
    <row r="831" spans="4:6" s="103" customFormat="1" x14ac:dyDescent="0.25">
      <c r="D831" s="104"/>
      <c r="F831" s="236"/>
    </row>
    <row r="832" spans="4:6" s="103" customFormat="1" x14ac:dyDescent="0.25">
      <c r="D832" s="104"/>
      <c r="F832" s="236"/>
    </row>
    <row r="833" spans="4:6" s="103" customFormat="1" x14ac:dyDescent="0.25">
      <c r="D833" s="104"/>
      <c r="F833" s="236"/>
    </row>
    <row r="834" spans="4:6" s="103" customFormat="1" x14ac:dyDescent="0.25">
      <c r="D834" s="104"/>
      <c r="F834" s="236"/>
    </row>
    <row r="835" spans="4:6" s="103" customFormat="1" x14ac:dyDescent="0.25">
      <c r="D835" s="104"/>
      <c r="F835" s="236"/>
    </row>
    <row r="836" spans="4:6" s="103" customFormat="1" x14ac:dyDescent="0.25">
      <c r="D836" s="104"/>
      <c r="F836" s="236"/>
    </row>
    <row r="837" spans="4:6" s="103" customFormat="1" x14ac:dyDescent="0.25">
      <c r="D837" s="104"/>
      <c r="F837" s="236"/>
    </row>
    <row r="838" spans="4:6" s="103" customFormat="1" x14ac:dyDescent="0.25">
      <c r="D838" s="104"/>
      <c r="F838" s="236"/>
    </row>
    <row r="839" spans="4:6" s="103" customFormat="1" x14ac:dyDescent="0.25">
      <c r="D839" s="104"/>
      <c r="F839" s="236"/>
    </row>
    <row r="840" spans="4:6" s="103" customFormat="1" x14ac:dyDescent="0.25">
      <c r="D840" s="104"/>
      <c r="F840" s="236"/>
    </row>
    <row r="841" spans="4:6" s="103" customFormat="1" x14ac:dyDescent="0.25">
      <c r="D841" s="104"/>
      <c r="F841" s="236"/>
    </row>
    <row r="842" spans="4:6" s="103" customFormat="1" x14ac:dyDescent="0.25">
      <c r="D842" s="104"/>
      <c r="F842" s="236"/>
    </row>
    <row r="843" spans="4:6" s="103" customFormat="1" x14ac:dyDescent="0.25">
      <c r="D843" s="104"/>
      <c r="F843" s="236"/>
    </row>
    <row r="844" spans="4:6" s="103" customFormat="1" x14ac:dyDescent="0.25">
      <c r="D844" s="104"/>
      <c r="F844" s="236"/>
    </row>
    <row r="845" spans="4:6" s="103" customFormat="1" x14ac:dyDescent="0.25">
      <c r="D845" s="104"/>
      <c r="F845" s="236"/>
    </row>
    <row r="846" spans="4:6" s="103" customFormat="1" x14ac:dyDescent="0.25">
      <c r="D846" s="104"/>
      <c r="F846" s="236"/>
    </row>
    <row r="847" spans="4:6" s="103" customFormat="1" x14ac:dyDescent="0.25">
      <c r="D847" s="104"/>
      <c r="F847" s="236"/>
    </row>
    <row r="848" spans="4:6" s="103" customFormat="1" x14ac:dyDescent="0.25">
      <c r="D848" s="104"/>
      <c r="F848" s="236"/>
    </row>
    <row r="849" spans="4:6" s="103" customFormat="1" x14ac:dyDescent="0.25">
      <c r="D849" s="104"/>
      <c r="F849" s="236"/>
    </row>
    <row r="850" spans="4:6" s="103" customFormat="1" x14ac:dyDescent="0.25">
      <c r="D850" s="104"/>
      <c r="F850" s="236"/>
    </row>
    <row r="851" spans="4:6" s="103" customFormat="1" x14ac:dyDescent="0.25">
      <c r="D851" s="104"/>
      <c r="F851" s="236"/>
    </row>
    <row r="852" spans="4:6" s="103" customFormat="1" x14ac:dyDescent="0.25">
      <c r="D852" s="104"/>
      <c r="F852" s="236"/>
    </row>
    <row r="853" spans="4:6" s="103" customFormat="1" x14ac:dyDescent="0.25">
      <c r="D853" s="104"/>
      <c r="F853" s="236"/>
    </row>
    <row r="854" spans="4:6" s="103" customFormat="1" x14ac:dyDescent="0.25">
      <c r="D854" s="104"/>
      <c r="F854" s="236"/>
    </row>
    <row r="855" spans="4:6" s="103" customFormat="1" x14ac:dyDescent="0.25">
      <c r="D855" s="104"/>
      <c r="F855" s="236"/>
    </row>
    <row r="856" spans="4:6" s="103" customFormat="1" x14ac:dyDescent="0.25">
      <c r="D856" s="104"/>
      <c r="F856" s="236"/>
    </row>
    <row r="857" spans="4:6" s="103" customFormat="1" x14ac:dyDescent="0.25">
      <c r="D857" s="104"/>
      <c r="F857" s="236"/>
    </row>
    <row r="858" spans="4:6" s="103" customFormat="1" x14ac:dyDescent="0.25">
      <c r="D858" s="104"/>
      <c r="F858" s="236"/>
    </row>
    <row r="859" spans="4:6" s="103" customFormat="1" x14ac:dyDescent="0.25">
      <c r="D859" s="104"/>
      <c r="F859" s="236"/>
    </row>
    <row r="860" spans="4:6" s="103" customFormat="1" x14ac:dyDescent="0.25">
      <c r="D860" s="104"/>
      <c r="F860" s="236"/>
    </row>
    <row r="861" spans="4:6" s="103" customFormat="1" x14ac:dyDescent="0.25">
      <c r="D861" s="104"/>
      <c r="F861" s="236"/>
    </row>
    <row r="862" spans="4:6" s="103" customFormat="1" x14ac:dyDescent="0.25">
      <c r="D862" s="104"/>
      <c r="F862" s="236"/>
    </row>
    <row r="863" spans="4:6" s="103" customFormat="1" x14ac:dyDescent="0.25">
      <c r="D863" s="104"/>
      <c r="F863" s="236"/>
    </row>
    <row r="864" spans="4:6" s="103" customFormat="1" x14ac:dyDescent="0.25">
      <c r="D864" s="104"/>
      <c r="F864" s="236"/>
    </row>
    <row r="865" spans="4:6" s="103" customFormat="1" x14ac:dyDescent="0.25">
      <c r="D865" s="104"/>
      <c r="F865" s="236"/>
    </row>
    <row r="866" spans="4:6" s="103" customFormat="1" x14ac:dyDescent="0.25">
      <c r="D866" s="104"/>
      <c r="F866" s="236"/>
    </row>
    <row r="867" spans="4:6" s="103" customFormat="1" x14ac:dyDescent="0.25">
      <c r="D867" s="104"/>
      <c r="F867" s="236"/>
    </row>
    <row r="868" spans="4:6" s="103" customFormat="1" x14ac:dyDescent="0.25">
      <c r="D868" s="104"/>
      <c r="F868" s="236"/>
    </row>
    <row r="869" spans="4:6" s="103" customFormat="1" x14ac:dyDescent="0.25">
      <c r="D869" s="104"/>
      <c r="F869" s="236"/>
    </row>
    <row r="870" spans="4:6" s="103" customFormat="1" x14ac:dyDescent="0.25">
      <c r="D870" s="104"/>
      <c r="F870" s="236"/>
    </row>
    <row r="871" spans="4:6" s="103" customFormat="1" x14ac:dyDescent="0.25">
      <c r="D871" s="104"/>
      <c r="F871" s="236"/>
    </row>
    <row r="872" spans="4:6" s="103" customFormat="1" x14ac:dyDescent="0.25">
      <c r="D872" s="104"/>
      <c r="F872" s="236"/>
    </row>
    <row r="873" spans="4:6" s="103" customFormat="1" x14ac:dyDescent="0.25">
      <c r="D873" s="104"/>
      <c r="F873" s="236"/>
    </row>
    <row r="874" spans="4:6" s="103" customFormat="1" x14ac:dyDescent="0.25">
      <c r="D874" s="104"/>
      <c r="F874" s="236"/>
    </row>
    <row r="875" spans="4:6" s="103" customFormat="1" x14ac:dyDescent="0.25">
      <c r="D875" s="104"/>
      <c r="F875" s="236"/>
    </row>
    <row r="876" spans="4:6" s="103" customFormat="1" x14ac:dyDescent="0.25">
      <c r="D876" s="104"/>
      <c r="F876" s="236"/>
    </row>
    <row r="877" spans="4:6" s="103" customFormat="1" x14ac:dyDescent="0.25">
      <c r="D877" s="104"/>
      <c r="F877" s="236"/>
    </row>
    <row r="878" spans="4:6" s="103" customFormat="1" x14ac:dyDescent="0.25">
      <c r="D878" s="104"/>
      <c r="F878" s="236"/>
    </row>
    <row r="879" spans="4:6" s="103" customFormat="1" x14ac:dyDescent="0.25">
      <c r="D879" s="104"/>
      <c r="F879" s="236"/>
    </row>
    <row r="880" spans="4:6" s="103" customFormat="1" x14ac:dyDescent="0.25">
      <c r="D880" s="104"/>
      <c r="F880" s="236"/>
    </row>
    <row r="881" spans="4:6" s="103" customFormat="1" x14ac:dyDescent="0.25">
      <c r="D881" s="104"/>
      <c r="F881" s="236"/>
    </row>
    <row r="882" spans="4:6" s="103" customFormat="1" x14ac:dyDescent="0.25">
      <c r="D882" s="104"/>
      <c r="F882" s="236"/>
    </row>
    <row r="883" spans="4:6" s="103" customFormat="1" x14ac:dyDescent="0.25">
      <c r="D883" s="104"/>
      <c r="F883" s="236"/>
    </row>
    <row r="884" spans="4:6" s="103" customFormat="1" x14ac:dyDescent="0.25">
      <c r="D884" s="104"/>
      <c r="F884" s="236"/>
    </row>
    <row r="885" spans="4:6" s="103" customFormat="1" x14ac:dyDescent="0.25">
      <c r="D885" s="104"/>
      <c r="F885" s="236"/>
    </row>
    <row r="886" spans="4:6" s="103" customFormat="1" x14ac:dyDescent="0.25">
      <c r="D886" s="104"/>
      <c r="F886" s="236"/>
    </row>
    <row r="887" spans="4:6" s="103" customFormat="1" x14ac:dyDescent="0.25">
      <c r="D887" s="104"/>
      <c r="F887" s="236"/>
    </row>
    <row r="888" spans="4:6" s="103" customFormat="1" x14ac:dyDescent="0.25">
      <c r="D888" s="104"/>
      <c r="F888" s="236"/>
    </row>
    <row r="889" spans="4:6" s="103" customFormat="1" x14ac:dyDescent="0.25">
      <c r="D889" s="104"/>
      <c r="F889" s="236"/>
    </row>
    <row r="890" spans="4:6" s="103" customFormat="1" x14ac:dyDescent="0.25">
      <c r="D890" s="104"/>
      <c r="F890" s="236"/>
    </row>
    <row r="891" spans="4:6" s="103" customFormat="1" x14ac:dyDescent="0.25">
      <c r="D891" s="104"/>
      <c r="F891" s="236"/>
    </row>
    <row r="892" spans="4:6" s="103" customFormat="1" x14ac:dyDescent="0.25">
      <c r="D892" s="104"/>
      <c r="F892" s="236"/>
    </row>
    <row r="893" spans="4:6" s="103" customFormat="1" x14ac:dyDescent="0.25">
      <c r="D893" s="104"/>
      <c r="F893" s="236"/>
    </row>
    <row r="894" spans="4:6" s="103" customFormat="1" x14ac:dyDescent="0.25">
      <c r="D894" s="104"/>
      <c r="F894" s="236"/>
    </row>
    <row r="895" spans="4:6" s="103" customFormat="1" x14ac:dyDescent="0.25">
      <c r="D895" s="104"/>
      <c r="F895" s="236"/>
    </row>
    <row r="896" spans="4:6" s="103" customFormat="1" x14ac:dyDescent="0.25">
      <c r="D896" s="104"/>
      <c r="F896" s="236"/>
    </row>
    <row r="897" spans="4:6" s="103" customFormat="1" x14ac:dyDescent="0.25">
      <c r="D897" s="104"/>
      <c r="F897" s="236"/>
    </row>
    <row r="898" spans="4:6" s="103" customFormat="1" x14ac:dyDescent="0.25">
      <c r="D898" s="104"/>
      <c r="F898" s="236"/>
    </row>
    <row r="899" spans="4:6" s="103" customFormat="1" x14ac:dyDescent="0.25">
      <c r="D899" s="104"/>
      <c r="F899" s="236"/>
    </row>
    <row r="900" spans="4:6" s="103" customFormat="1" x14ac:dyDescent="0.25">
      <c r="D900" s="104"/>
      <c r="F900" s="236"/>
    </row>
    <row r="901" spans="4:6" s="103" customFormat="1" x14ac:dyDescent="0.25">
      <c r="D901" s="104"/>
      <c r="F901" s="236"/>
    </row>
    <row r="902" spans="4:6" s="103" customFormat="1" x14ac:dyDescent="0.25">
      <c r="D902" s="104"/>
      <c r="F902" s="236"/>
    </row>
    <row r="903" spans="4:6" s="103" customFormat="1" x14ac:dyDescent="0.25">
      <c r="D903" s="104"/>
      <c r="F903" s="236"/>
    </row>
    <row r="904" spans="4:6" s="103" customFormat="1" x14ac:dyDescent="0.25">
      <c r="D904" s="104"/>
      <c r="F904" s="236"/>
    </row>
    <row r="905" spans="4:6" s="103" customFormat="1" x14ac:dyDescent="0.25">
      <c r="D905" s="104"/>
      <c r="F905" s="236"/>
    </row>
    <row r="906" spans="4:6" s="103" customFormat="1" x14ac:dyDescent="0.25">
      <c r="D906" s="104"/>
      <c r="F906" s="236"/>
    </row>
    <row r="907" spans="4:6" s="103" customFormat="1" x14ac:dyDescent="0.25">
      <c r="D907" s="104"/>
      <c r="F907" s="236"/>
    </row>
    <row r="908" spans="4:6" s="103" customFormat="1" x14ac:dyDescent="0.25">
      <c r="D908" s="104"/>
      <c r="F908" s="236"/>
    </row>
    <row r="909" spans="4:6" s="103" customFormat="1" x14ac:dyDescent="0.25">
      <c r="D909" s="104"/>
      <c r="F909" s="236"/>
    </row>
    <row r="910" spans="4:6" s="103" customFormat="1" x14ac:dyDescent="0.25">
      <c r="D910" s="104"/>
      <c r="F910" s="236"/>
    </row>
    <row r="911" spans="4:6" s="103" customFormat="1" x14ac:dyDescent="0.25">
      <c r="D911" s="104"/>
      <c r="F911" s="236"/>
    </row>
    <row r="912" spans="4:6" s="103" customFormat="1" x14ac:dyDescent="0.25">
      <c r="D912" s="104"/>
      <c r="F912" s="236"/>
    </row>
    <row r="913" spans="4:6" s="103" customFormat="1" x14ac:dyDescent="0.25">
      <c r="D913" s="104"/>
      <c r="F913" s="236"/>
    </row>
    <row r="914" spans="4:6" s="103" customFormat="1" x14ac:dyDescent="0.25">
      <c r="D914" s="104"/>
      <c r="F914" s="236"/>
    </row>
    <row r="915" spans="4:6" s="103" customFormat="1" x14ac:dyDescent="0.25">
      <c r="D915" s="104"/>
      <c r="F915" s="236"/>
    </row>
    <row r="916" spans="4:6" s="103" customFormat="1" x14ac:dyDescent="0.25">
      <c r="D916" s="104"/>
      <c r="F916" s="236"/>
    </row>
    <row r="917" spans="4:6" s="103" customFormat="1" x14ac:dyDescent="0.25">
      <c r="D917" s="104"/>
      <c r="F917" s="236"/>
    </row>
    <row r="918" spans="4:6" s="103" customFormat="1" x14ac:dyDescent="0.25">
      <c r="D918" s="104"/>
      <c r="F918" s="236"/>
    </row>
    <row r="919" spans="4:6" s="103" customFormat="1" x14ac:dyDescent="0.25">
      <c r="D919" s="104"/>
      <c r="F919" s="236"/>
    </row>
    <row r="920" spans="4:6" s="103" customFormat="1" x14ac:dyDescent="0.25">
      <c r="D920" s="104"/>
      <c r="F920" s="236"/>
    </row>
    <row r="921" spans="4:6" s="103" customFormat="1" x14ac:dyDescent="0.25">
      <c r="D921" s="104"/>
      <c r="F921" s="236"/>
    </row>
    <row r="922" spans="4:6" s="103" customFormat="1" x14ac:dyDescent="0.25">
      <c r="D922" s="104"/>
      <c r="F922" s="236"/>
    </row>
    <row r="923" spans="4:6" s="103" customFormat="1" x14ac:dyDescent="0.25">
      <c r="D923" s="104"/>
      <c r="F923" s="236"/>
    </row>
    <row r="924" spans="4:6" s="103" customFormat="1" x14ac:dyDescent="0.25">
      <c r="D924" s="104"/>
      <c r="F924" s="236"/>
    </row>
    <row r="925" spans="4:6" s="103" customFormat="1" x14ac:dyDescent="0.25">
      <c r="D925" s="104"/>
      <c r="F925" s="236"/>
    </row>
    <row r="926" spans="4:6" s="103" customFormat="1" x14ac:dyDescent="0.25">
      <c r="D926" s="104"/>
      <c r="F926" s="236"/>
    </row>
    <row r="927" spans="4:6" s="103" customFormat="1" x14ac:dyDescent="0.25">
      <c r="D927" s="104"/>
      <c r="F927" s="236"/>
    </row>
    <row r="928" spans="4:6" s="103" customFormat="1" x14ac:dyDescent="0.25">
      <c r="D928" s="104"/>
      <c r="F928" s="236"/>
    </row>
    <row r="929" spans="4:6" s="103" customFormat="1" x14ac:dyDescent="0.25">
      <c r="D929" s="104"/>
      <c r="F929" s="236"/>
    </row>
    <row r="930" spans="4:6" s="103" customFormat="1" x14ac:dyDescent="0.25">
      <c r="D930" s="104"/>
      <c r="F930" s="236"/>
    </row>
    <row r="931" spans="4:6" s="103" customFormat="1" x14ac:dyDescent="0.25">
      <c r="D931" s="104"/>
      <c r="F931" s="236"/>
    </row>
    <row r="932" spans="4:6" s="103" customFormat="1" x14ac:dyDescent="0.25">
      <c r="D932" s="104"/>
      <c r="F932" s="236"/>
    </row>
    <row r="933" spans="4:6" s="103" customFormat="1" x14ac:dyDescent="0.25">
      <c r="D933" s="104"/>
      <c r="F933" s="236"/>
    </row>
    <row r="934" spans="4:6" s="103" customFormat="1" x14ac:dyDescent="0.25">
      <c r="D934" s="104"/>
      <c r="F934" s="236"/>
    </row>
    <row r="935" spans="4:6" s="103" customFormat="1" x14ac:dyDescent="0.25">
      <c r="D935" s="104"/>
      <c r="F935" s="236"/>
    </row>
    <row r="936" spans="4:6" s="103" customFormat="1" x14ac:dyDescent="0.25">
      <c r="D936" s="104"/>
      <c r="F936" s="236"/>
    </row>
    <row r="937" spans="4:6" s="103" customFormat="1" x14ac:dyDescent="0.25">
      <c r="D937" s="104"/>
      <c r="F937" s="236"/>
    </row>
    <row r="938" spans="4:6" s="103" customFormat="1" x14ac:dyDescent="0.25">
      <c r="D938" s="104"/>
      <c r="F938" s="236"/>
    </row>
    <row r="939" spans="4:6" s="103" customFormat="1" x14ac:dyDescent="0.25">
      <c r="D939" s="104"/>
      <c r="F939" s="236"/>
    </row>
    <row r="940" spans="4:6" s="103" customFormat="1" x14ac:dyDescent="0.25">
      <c r="D940" s="104"/>
      <c r="F940" s="236"/>
    </row>
    <row r="941" spans="4:6" s="103" customFormat="1" x14ac:dyDescent="0.25">
      <c r="D941" s="104"/>
      <c r="F941" s="236"/>
    </row>
    <row r="942" spans="4:6" s="103" customFormat="1" x14ac:dyDescent="0.25">
      <c r="D942" s="104"/>
      <c r="F942" s="236"/>
    </row>
    <row r="943" spans="4:6" s="103" customFormat="1" x14ac:dyDescent="0.25">
      <c r="D943" s="104"/>
      <c r="F943" s="236"/>
    </row>
    <row r="944" spans="4:6" s="103" customFormat="1" x14ac:dyDescent="0.25">
      <c r="D944" s="104"/>
      <c r="F944" s="236"/>
    </row>
    <row r="945" spans="4:6" s="103" customFormat="1" x14ac:dyDescent="0.25">
      <c r="D945" s="104"/>
      <c r="F945" s="236"/>
    </row>
    <row r="946" spans="4:6" s="103" customFormat="1" x14ac:dyDescent="0.25">
      <c r="D946" s="104"/>
      <c r="F946" s="236"/>
    </row>
    <row r="947" spans="4:6" s="103" customFormat="1" x14ac:dyDescent="0.25">
      <c r="D947" s="104"/>
      <c r="F947" s="236"/>
    </row>
    <row r="948" spans="4:6" s="103" customFormat="1" x14ac:dyDescent="0.25">
      <c r="D948" s="104"/>
      <c r="F948" s="236"/>
    </row>
    <row r="949" spans="4:6" s="103" customFormat="1" x14ac:dyDescent="0.25">
      <c r="D949" s="104"/>
      <c r="F949" s="236"/>
    </row>
    <row r="950" spans="4:6" s="103" customFormat="1" x14ac:dyDescent="0.25">
      <c r="D950" s="104"/>
      <c r="F950" s="236"/>
    </row>
    <row r="951" spans="4:6" s="103" customFormat="1" x14ac:dyDescent="0.25">
      <c r="D951" s="104"/>
      <c r="F951" s="236"/>
    </row>
    <row r="952" spans="4:6" s="103" customFormat="1" x14ac:dyDescent="0.25">
      <c r="D952" s="104"/>
      <c r="F952" s="236"/>
    </row>
    <row r="953" spans="4:6" s="103" customFormat="1" x14ac:dyDescent="0.25">
      <c r="D953" s="104"/>
      <c r="F953" s="236"/>
    </row>
    <row r="954" spans="4:6" s="103" customFormat="1" x14ac:dyDescent="0.25">
      <c r="D954" s="104"/>
      <c r="F954" s="236"/>
    </row>
    <row r="955" spans="4:6" s="103" customFormat="1" x14ac:dyDescent="0.25">
      <c r="D955" s="104"/>
      <c r="F955" s="236"/>
    </row>
    <row r="956" spans="4:6" s="103" customFormat="1" x14ac:dyDescent="0.25">
      <c r="D956" s="104"/>
      <c r="F956" s="236"/>
    </row>
    <row r="957" spans="4:6" s="103" customFormat="1" x14ac:dyDescent="0.25">
      <c r="D957" s="104"/>
      <c r="F957" s="236"/>
    </row>
    <row r="958" spans="4:6" s="103" customFormat="1" x14ac:dyDescent="0.25">
      <c r="D958" s="104"/>
      <c r="F958" s="236"/>
    </row>
    <row r="959" spans="4:6" s="103" customFormat="1" x14ac:dyDescent="0.25">
      <c r="D959" s="104"/>
      <c r="F959" s="236"/>
    </row>
    <row r="960" spans="4:6" s="103" customFormat="1" x14ac:dyDescent="0.25">
      <c r="D960" s="104"/>
      <c r="F960" s="236"/>
    </row>
    <row r="961" spans="4:6" s="103" customFormat="1" x14ac:dyDescent="0.25">
      <c r="D961" s="104"/>
      <c r="F961" s="236"/>
    </row>
    <row r="962" spans="4:6" s="103" customFormat="1" x14ac:dyDescent="0.25">
      <c r="D962" s="104"/>
      <c r="F962" s="236"/>
    </row>
    <row r="963" spans="4:6" s="103" customFormat="1" x14ac:dyDescent="0.25">
      <c r="D963" s="104"/>
      <c r="F963" s="236"/>
    </row>
    <row r="964" spans="4:6" s="103" customFormat="1" x14ac:dyDescent="0.25">
      <c r="D964" s="104"/>
      <c r="F964" s="236"/>
    </row>
    <row r="965" spans="4:6" s="103" customFormat="1" x14ac:dyDescent="0.25">
      <c r="D965" s="104"/>
      <c r="F965" s="236"/>
    </row>
    <row r="966" spans="4:6" s="103" customFormat="1" x14ac:dyDescent="0.25">
      <c r="D966" s="104"/>
      <c r="F966" s="236"/>
    </row>
    <row r="967" spans="4:6" s="103" customFormat="1" x14ac:dyDescent="0.25">
      <c r="D967" s="104"/>
      <c r="F967" s="236"/>
    </row>
    <row r="968" spans="4:6" s="103" customFormat="1" x14ac:dyDescent="0.25">
      <c r="D968" s="104"/>
      <c r="F968" s="236"/>
    </row>
    <row r="969" spans="4:6" s="103" customFormat="1" x14ac:dyDescent="0.25">
      <c r="D969" s="104"/>
      <c r="F969" s="236"/>
    </row>
    <row r="970" spans="4:6" s="103" customFormat="1" x14ac:dyDescent="0.25">
      <c r="D970" s="104"/>
      <c r="F970" s="236"/>
    </row>
    <row r="971" spans="4:6" s="103" customFormat="1" x14ac:dyDescent="0.25">
      <c r="D971" s="104"/>
      <c r="F971" s="236"/>
    </row>
    <row r="972" spans="4:6" s="103" customFormat="1" x14ac:dyDescent="0.25">
      <c r="D972" s="104"/>
      <c r="F972" s="236"/>
    </row>
    <row r="973" spans="4:6" s="103" customFormat="1" x14ac:dyDescent="0.25">
      <c r="D973" s="104"/>
      <c r="F973" s="236"/>
    </row>
    <row r="974" spans="4:6" s="103" customFormat="1" x14ac:dyDescent="0.25">
      <c r="D974" s="104"/>
      <c r="F974" s="236"/>
    </row>
    <row r="975" spans="4:6" s="103" customFormat="1" x14ac:dyDescent="0.25">
      <c r="D975" s="104"/>
      <c r="F975" s="236"/>
    </row>
    <row r="976" spans="4:6" s="103" customFormat="1" x14ac:dyDescent="0.25">
      <c r="D976" s="104"/>
      <c r="F976" s="236"/>
    </row>
    <row r="977" spans="4:6" s="103" customFormat="1" x14ac:dyDescent="0.25">
      <c r="D977" s="104"/>
      <c r="F977" s="236"/>
    </row>
    <row r="978" spans="4:6" s="103" customFormat="1" x14ac:dyDescent="0.25">
      <c r="D978" s="104"/>
      <c r="F978" s="236"/>
    </row>
    <row r="979" spans="4:6" s="103" customFormat="1" x14ac:dyDescent="0.25">
      <c r="D979" s="104"/>
      <c r="F979" s="236"/>
    </row>
    <row r="980" spans="4:6" s="103" customFormat="1" x14ac:dyDescent="0.25">
      <c r="D980" s="104"/>
      <c r="F980" s="236"/>
    </row>
    <row r="981" spans="4:6" s="103" customFormat="1" x14ac:dyDescent="0.25">
      <c r="D981" s="104"/>
      <c r="F981" s="236"/>
    </row>
    <row r="982" spans="4:6" s="103" customFormat="1" x14ac:dyDescent="0.25">
      <c r="D982" s="104"/>
      <c r="F982" s="236"/>
    </row>
    <row r="983" spans="4:6" s="103" customFormat="1" x14ac:dyDescent="0.25">
      <c r="D983" s="104"/>
      <c r="F983" s="236"/>
    </row>
    <row r="984" spans="4:6" s="103" customFormat="1" x14ac:dyDescent="0.25">
      <c r="D984" s="104"/>
      <c r="F984" s="236"/>
    </row>
    <row r="985" spans="4:6" s="103" customFormat="1" x14ac:dyDescent="0.25">
      <c r="D985" s="104"/>
      <c r="F985" s="236"/>
    </row>
    <row r="986" spans="4:6" s="103" customFormat="1" x14ac:dyDescent="0.25">
      <c r="D986" s="104"/>
      <c r="F986" s="236"/>
    </row>
    <row r="987" spans="4:6" s="103" customFormat="1" x14ac:dyDescent="0.25">
      <c r="D987" s="104"/>
      <c r="F987" s="236"/>
    </row>
    <row r="988" spans="4:6" s="103" customFormat="1" x14ac:dyDescent="0.25">
      <c r="D988" s="104"/>
      <c r="F988" s="236"/>
    </row>
    <row r="989" spans="4:6" s="103" customFormat="1" x14ac:dyDescent="0.25">
      <c r="D989" s="104"/>
      <c r="F989" s="236"/>
    </row>
    <row r="990" spans="4:6" s="103" customFormat="1" x14ac:dyDescent="0.25">
      <c r="D990" s="104"/>
      <c r="F990" s="236"/>
    </row>
    <row r="991" spans="4:6" s="103" customFormat="1" x14ac:dyDescent="0.25">
      <c r="D991" s="104"/>
      <c r="F991" s="236"/>
    </row>
    <row r="992" spans="4:6" s="103" customFormat="1" x14ac:dyDescent="0.25">
      <c r="D992" s="104"/>
      <c r="F992" s="236"/>
    </row>
    <row r="993" spans="4:6" s="103" customFormat="1" x14ac:dyDescent="0.25">
      <c r="D993" s="104"/>
      <c r="F993" s="236"/>
    </row>
    <row r="994" spans="4:6" s="103" customFormat="1" x14ac:dyDescent="0.25">
      <c r="D994" s="104"/>
      <c r="F994" s="236"/>
    </row>
    <row r="995" spans="4:6" s="103" customFormat="1" x14ac:dyDescent="0.25">
      <c r="D995" s="104"/>
      <c r="F995" s="236"/>
    </row>
    <row r="996" spans="4:6" s="103" customFormat="1" x14ac:dyDescent="0.25">
      <c r="D996" s="104"/>
      <c r="F996" s="236"/>
    </row>
    <row r="997" spans="4:6" s="103" customFormat="1" x14ac:dyDescent="0.25">
      <c r="D997" s="104"/>
      <c r="F997" s="236"/>
    </row>
    <row r="998" spans="4:6" s="103" customFormat="1" x14ac:dyDescent="0.25">
      <c r="D998" s="104"/>
      <c r="F998" s="236"/>
    </row>
    <row r="999" spans="4:6" s="103" customFormat="1" x14ac:dyDescent="0.25">
      <c r="D999" s="104"/>
      <c r="F999" s="236"/>
    </row>
    <row r="1000" spans="4:6" s="103" customFormat="1" x14ac:dyDescent="0.25">
      <c r="D1000" s="104"/>
      <c r="F1000" s="236"/>
    </row>
    <row r="1001" spans="4:6" s="103" customFormat="1" x14ac:dyDescent="0.25">
      <c r="D1001" s="104"/>
      <c r="F1001" s="236"/>
    </row>
    <row r="1002" spans="4:6" s="103" customFormat="1" x14ac:dyDescent="0.25">
      <c r="D1002" s="104"/>
      <c r="F1002" s="236"/>
    </row>
    <row r="1003" spans="4:6" s="103" customFormat="1" x14ac:dyDescent="0.25">
      <c r="D1003" s="104"/>
      <c r="F1003" s="236"/>
    </row>
    <row r="1004" spans="4:6" s="103" customFormat="1" x14ac:dyDescent="0.25">
      <c r="D1004" s="104"/>
      <c r="F1004" s="236"/>
    </row>
    <row r="1005" spans="4:6" s="103" customFormat="1" x14ac:dyDescent="0.25">
      <c r="D1005" s="104"/>
      <c r="F1005" s="236"/>
    </row>
    <row r="1006" spans="4:6" s="103" customFormat="1" x14ac:dyDescent="0.25">
      <c r="D1006" s="104"/>
      <c r="F1006" s="236"/>
    </row>
    <row r="1007" spans="4:6" s="103" customFormat="1" x14ac:dyDescent="0.25">
      <c r="D1007" s="104"/>
      <c r="F1007" s="236"/>
    </row>
    <row r="1008" spans="4:6" s="103" customFormat="1" x14ac:dyDescent="0.25">
      <c r="D1008" s="104"/>
      <c r="F1008" s="236"/>
    </row>
    <row r="1009" spans="4:6" s="103" customFormat="1" x14ac:dyDescent="0.25">
      <c r="D1009" s="104"/>
      <c r="F1009" s="236"/>
    </row>
    <row r="1010" spans="4:6" s="103" customFormat="1" x14ac:dyDescent="0.25">
      <c r="D1010" s="104"/>
      <c r="F1010" s="236"/>
    </row>
    <row r="1011" spans="4:6" s="103" customFormat="1" x14ac:dyDescent="0.25">
      <c r="D1011" s="104"/>
      <c r="F1011" s="236"/>
    </row>
    <row r="1012" spans="4:6" s="103" customFormat="1" x14ac:dyDescent="0.25">
      <c r="D1012" s="104"/>
      <c r="F1012" s="236"/>
    </row>
    <row r="1013" spans="4:6" s="103" customFormat="1" x14ac:dyDescent="0.25">
      <c r="D1013" s="104"/>
      <c r="F1013" s="236"/>
    </row>
    <row r="1014" spans="4:6" s="103" customFormat="1" x14ac:dyDescent="0.25">
      <c r="D1014" s="104"/>
      <c r="F1014" s="236"/>
    </row>
    <row r="1015" spans="4:6" s="103" customFormat="1" x14ac:dyDescent="0.25">
      <c r="D1015" s="104"/>
      <c r="F1015" s="236"/>
    </row>
    <row r="1016" spans="4:6" s="103" customFormat="1" x14ac:dyDescent="0.25">
      <c r="D1016" s="104"/>
      <c r="F1016" s="236"/>
    </row>
    <row r="1017" spans="4:6" s="103" customFormat="1" x14ac:dyDescent="0.25">
      <c r="D1017" s="104"/>
      <c r="F1017" s="236"/>
    </row>
    <row r="1018" spans="4:6" s="103" customFormat="1" x14ac:dyDescent="0.25">
      <c r="D1018" s="104"/>
      <c r="F1018" s="236"/>
    </row>
    <row r="1019" spans="4:6" s="103" customFormat="1" x14ac:dyDescent="0.25">
      <c r="D1019" s="104"/>
      <c r="F1019" s="236"/>
    </row>
    <row r="1020" spans="4:6" s="103" customFormat="1" x14ac:dyDescent="0.25">
      <c r="D1020" s="104"/>
      <c r="F1020" s="236"/>
    </row>
    <row r="1021" spans="4:6" s="103" customFormat="1" x14ac:dyDescent="0.25">
      <c r="D1021" s="104"/>
      <c r="F1021" s="236"/>
    </row>
    <row r="1022" spans="4:6" s="103" customFormat="1" x14ac:dyDescent="0.25">
      <c r="D1022" s="104"/>
      <c r="F1022" s="236"/>
    </row>
    <row r="1023" spans="4:6" s="103" customFormat="1" x14ac:dyDescent="0.25">
      <c r="D1023" s="104"/>
      <c r="F1023" s="236"/>
    </row>
    <row r="1024" spans="4:6" s="103" customFormat="1" x14ac:dyDescent="0.25">
      <c r="D1024" s="104"/>
      <c r="F1024" s="236"/>
    </row>
    <row r="1025" spans="4:6" s="103" customFormat="1" x14ac:dyDescent="0.25">
      <c r="D1025" s="104"/>
      <c r="F1025" s="236"/>
    </row>
    <row r="1026" spans="4:6" s="103" customFormat="1" x14ac:dyDescent="0.25">
      <c r="D1026" s="104"/>
      <c r="F1026" s="236"/>
    </row>
    <row r="1027" spans="4:6" s="103" customFormat="1" x14ac:dyDescent="0.25">
      <c r="D1027" s="104"/>
      <c r="F1027" s="236"/>
    </row>
    <row r="1028" spans="4:6" s="103" customFormat="1" x14ac:dyDescent="0.25">
      <c r="D1028" s="104"/>
      <c r="F1028" s="236"/>
    </row>
    <row r="1029" spans="4:6" s="103" customFormat="1" x14ac:dyDescent="0.25">
      <c r="D1029" s="104"/>
      <c r="F1029" s="236"/>
    </row>
    <row r="1030" spans="4:6" s="103" customFormat="1" x14ac:dyDescent="0.25">
      <c r="D1030" s="104"/>
      <c r="F1030" s="236"/>
    </row>
    <row r="1031" spans="4:6" s="103" customFormat="1" x14ac:dyDescent="0.25">
      <c r="D1031" s="104"/>
      <c r="F1031" s="236"/>
    </row>
    <row r="1032" spans="4:6" s="103" customFormat="1" x14ac:dyDescent="0.25">
      <c r="D1032" s="104"/>
      <c r="F1032" s="236"/>
    </row>
    <row r="1033" spans="4:6" s="103" customFormat="1" x14ac:dyDescent="0.25">
      <c r="D1033" s="104"/>
      <c r="F1033" s="236"/>
    </row>
    <row r="1034" spans="4:6" s="103" customFormat="1" x14ac:dyDescent="0.25">
      <c r="D1034" s="104"/>
      <c r="F1034" s="236"/>
    </row>
    <row r="1035" spans="4:6" s="103" customFormat="1" x14ac:dyDescent="0.25">
      <c r="D1035" s="104"/>
      <c r="F1035" s="236"/>
    </row>
    <row r="1036" spans="4:6" s="103" customFormat="1" x14ac:dyDescent="0.25">
      <c r="D1036" s="104"/>
      <c r="F1036" s="236"/>
    </row>
    <row r="1037" spans="4:6" s="103" customFormat="1" x14ac:dyDescent="0.25">
      <c r="D1037" s="104"/>
      <c r="F1037" s="236"/>
    </row>
    <row r="1038" spans="4:6" s="103" customFormat="1" x14ac:dyDescent="0.25">
      <c r="D1038" s="104"/>
      <c r="F1038" s="236"/>
    </row>
    <row r="1039" spans="4:6" s="103" customFormat="1" x14ac:dyDescent="0.25">
      <c r="D1039" s="104"/>
      <c r="F1039" s="236"/>
    </row>
    <row r="1040" spans="4:6" s="103" customFormat="1" x14ac:dyDescent="0.25">
      <c r="D1040" s="104"/>
      <c r="F1040" s="236"/>
    </row>
    <row r="1041" spans="4:6" s="103" customFormat="1" x14ac:dyDescent="0.25">
      <c r="D1041" s="104"/>
      <c r="F1041" s="236"/>
    </row>
    <row r="1042" spans="4:6" s="103" customFormat="1" x14ac:dyDescent="0.25">
      <c r="D1042" s="104"/>
      <c r="F1042" s="236"/>
    </row>
    <row r="1043" spans="4:6" s="103" customFormat="1" x14ac:dyDescent="0.25">
      <c r="D1043" s="104"/>
      <c r="F1043" s="236"/>
    </row>
    <row r="1044" spans="4:6" s="103" customFormat="1" x14ac:dyDescent="0.25">
      <c r="D1044" s="104"/>
      <c r="F1044" s="236"/>
    </row>
    <row r="1045" spans="4:6" s="103" customFormat="1" x14ac:dyDescent="0.25">
      <c r="D1045" s="104"/>
      <c r="F1045" s="236"/>
    </row>
    <row r="1046" spans="4:6" s="103" customFormat="1" x14ac:dyDescent="0.25">
      <c r="D1046" s="104"/>
      <c r="F1046" s="236"/>
    </row>
    <row r="1047" spans="4:6" s="103" customFormat="1" x14ac:dyDescent="0.25">
      <c r="D1047" s="104"/>
      <c r="F1047" s="236"/>
    </row>
    <row r="1048" spans="4:6" s="103" customFormat="1" x14ac:dyDescent="0.25">
      <c r="D1048" s="104"/>
      <c r="F1048" s="236"/>
    </row>
    <row r="1049" spans="4:6" s="103" customFormat="1" x14ac:dyDescent="0.25">
      <c r="D1049" s="104"/>
      <c r="F1049" s="236"/>
    </row>
    <row r="1050" spans="4:6" s="103" customFormat="1" x14ac:dyDescent="0.25">
      <c r="D1050" s="104"/>
      <c r="F1050" s="236"/>
    </row>
    <row r="1051" spans="4:6" s="103" customFormat="1" x14ac:dyDescent="0.25">
      <c r="D1051" s="104"/>
      <c r="F1051" s="236"/>
    </row>
    <row r="1052" spans="4:6" s="103" customFormat="1" x14ac:dyDescent="0.25">
      <c r="D1052" s="104"/>
      <c r="F1052" s="236"/>
    </row>
    <row r="1053" spans="4:6" s="103" customFormat="1" x14ac:dyDescent="0.25">
      <c r="D1053" s="104"/>
      <c r="F1053" s="236"/>
    </row>
    <row r="1054" spans="4:6" s="103" customFormat="1" x14ac:dyDescent="0.25">
      <c r="D1054" s="104"/>
      <c r="F1054" s="236"/>
    </row>
    <row r="1055" spans="4:6" s="103" customFormat="1" x14ac:dyDescent="0.25">
      <c r="D1055" s="104"/>
      <c r="F1055" s="236"/>
    </row>
    <row r="1056" spans="4:6" s="103" customFormat="1" x14ac:dyDescent="0.25">
      <c r="D1056" s="104"/>
      <c r="F1056" s="236"/>
    </row>
    <row r="1057" spans="4:6" s="103" customFormat="1" x14ac:dyDescent="0.25">
      <c r="D1057" s="104"/>
      <c r="F1057" s="236"/>
    </row>
    <row r="1058" spans="4:6" s="103" customFormat="1" x14ac:dyDescent="0.25">
      <c r="D1058" s="104"/>
      <c r="F1058" s="236"/>
    </row>
    <row r="1059" spans="4:6" s="103" customFormat="1" x14ac:dyDescent="0.25">
      <c r="D1059" s="104"/>
      <c r="F1059" s="236"/>
    </row>
    <row r="1060" spans="4:6" s="103" customFormat="1" x14ac:dyDescent="0.25">
      <c r="D1060" s="104"/>
      <c r="F1060" s="236"/>
    </row>
    <row r="1061" spans="4:6" s="103" customFormat="1" x14ac:dyDescent="0.25">
      <c r="D1061" s="104"/>
      <c r="F1061" s="236"/>
    </row>
    <row r="1062" spans="4:6" s="103" customFormat="1" x14ac:dyDescent="0.25">
      <c r="D1062" s="104"/>
      <c r="F1062" s="236"/>
    </row>
    <row r="1063" spans="4:6" s="103" customFormat="1" x14ac:dyDescent="0.25">
      <c r="D1063" s="104"/>
      <c r="F1063" s="236"/>
    </row>
    <row r="1064" spans="4:6" s="103" customFormat="1" x14ac:dyDescent="0.25">
      <c r="D1064" s="104"/>
      <c r="F1064" s="236"/>
    </row>
    <row r="1065" spans="4:6" s="103" customFormat="1" x14ac:dyDescent="0.25">
      <c r="D1065" s="104"/>
      <c r="F1065" s="236"/>
    </row>
    <row r="1066" spans="4:6" s="103" customFormat="1" x14ac:dyDescent="0.25">
      <c r="D1066" s="104"/>
      <c r="F1066" s="236"/>
    </row>
  </sheetData>
  <mergeCells count="3">
    <mergeCell ref="C31:D31"/>
    <mergeCell ref="A2:D2"/>
    <mergeCell ref="A36:C36"/>
  </mergeCells>
  <pageMargins left="0.7" right="0.7" top="0.75" bottom="0.75" header="0.3" footer="0.3"/>
  <pageSetup paperSize="9" scale="4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8"/>
  <sheetViews>
    <sheetView view="pageBreakPreview" topLeftCell="A37" zoomScale="76" zoomScaleNormal="63" zoomScaleSheetLayoutView="76" workbookViewId="0">
      <selection activeCell="F30" sqref="F30:F34"/>
    </sheetView>
  </sheetViews>
  <sheetFormatPr defaultRowHeight="15" outlineLevelRow="1" x14ac:dyDescent="0.25"/>
  <cols>
    <col min="1" max="1" width="5.7109375" customWidth="1"/>
    <col min="2" max="2" width="20.85546875" customWidth="1"/>
    <col min="3" max="3" width="27.5703125" customWidth="1"/>
    <col min="4" max="4" width="26.42578125" customWidth="1"/>
    <col min="5" max="5" width="22.7109375" customWidth="1"/>
    <col min="6" max="6" width="29.28515625" customWidth="1"/>
    <col min="7" max="7" width="31.5703125" customWidth="1"/>
    <col min="9" max="9" width="17.42578125" customWidth="1"/>
    <col min="10" max="10" width="12.140625" customWidth="1"/>
  </cols>
  <sheetData>
    <row r="1" spans="1:11" ht="42.75" customHeight="1" thickBot="1" x14ac:dyDescent="0.3">
      <c r="A1" s="286" t="s">
        <v>0</v>
      </c>
      <c r="B1" s="286"/>
      <c r="C1" s="286"/>
      <c r="D1" s="286"/>
      <c r="E1" s="286"/>
      <c r="F1" s="286"/>
      <c r="G1" s="286"/>
      <c r="H1" s="1"/>
      <c r="I1" s="1"/>
      <c r="J1" s="1"/>
      <c r="K1" s="1"/>
    </row>
    <row r="2" spans="1:11" ht="78" customHeight="1" x14ac:dyDescent="0.25">
      <c r="A2" s="47" t="s">
        <v>164</v>
      </c>
      <c r="B2" s="48" t="s">
        <v>3</v>
      </c>
      <c r="C2" s="48" t="s">
        <v>4</v>
      </c>
      <c r="D2" s="48" t="s">
        <v>101</v>
      </c>
      <c r="E2" s="48" t="s">
        <v>6</v>
      </c>
      <c r="F2" s="48" t="s">
        <v>7</v>
      </c>
      <c r="G2" s="49" t="s">
        <v>76</v>
      </c>
    </row>
    <row r="3" spans="1:11" ht="23.25" customHeight="1" thickBot="1" x14ac:dyDescent="0.3">
      <c r="A3" s="55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4">
        <v>7</v>
      </c>
    </row>
    <row r="4" spans="1:11" ht="22.5" customHeight="1" thickBot="1" x14ac:dyDescent="0.3">
      <c r="A4" s="283" t="s">
        <v>1</v>
      </c>
      <c r="B4" s="284"/>
      <c r="C4" s="284"/>
      <c r="D4" s="284"/>
      <c r="E4" s="284"/>
      <c r="F4" s="284"/>
      <c r="G4" s="285"/>
    </row>
    <row r="5" spans="1:11" s="2" customFormat="1" ht="51.75" customHeight="1" outlineLevel="1" x14ac:dyDescent="0.25">
      <c r="A5" s="57">
        <v>1</v>
      </c>
      <c r="B5" s="68" t="s">
        <v>8</v>
      </c>
      <c r="C5" s="66" t="s">
        <v>9</v>
      </c>
      <c r="D5" s="59">
        <v>9.9500000000000005E-2</v>
      </c>
      <c r="E5" s="60">
        <v>723537.62</v>
      </c>
      <c r="F5" s="61">
        <f>D5*E5</f>
        <v>71991.993190000008</v>
      </c>
      <c r="G5" s="62">
        <v>2</v>
      </c>
      <c r="J5" s="22"/>
    </row>
    <row r="6" spans="1:11" s="2" customFormat="1" ht="38.25" customHeight="1" outlineLevel="1" x14ac:dyDescent="0.25">
      <c r="A6" s="51">
        <v>2</v>
      </c>
      <c r="B6" s="69" t="s">
        <v>10</v>
      </c>
      <c r="C6" s="67" t="s">
        <v>11</v>
      </c>
      <c r="D6" s="7">
        <v>9.4500000000000001E-2</v>
      </c>
      <c r="E6" s="25">
        <v>723537.62</v>
      </c>
      <c r="F6" s="23">
        <f t="shared" ref="F6:F27" si="0">D6*E6</f>
        <v>68374.305089999994</v>
      </c>
      <c r="G6" s="50">
        <v>2</v>
      </c>
      <c r="J6" s="22"/>
    </row>
    <row r="7" spans="1:11" s="2" customFormat="1" ht="38.25" customHeight="1" outlineLevel="1" x14ac:dyDescent="0.25">
      <c r="A7" s="51">
        <v>3</v>
      </c>
      <c r="B7" s="69" t="s">
        <v>12</v>
      </c>
      <c r="C7" s="67" t="s">
        <v>13</v>
      </c>
      <c r="D7" s="7">
        <v>0.06</v>
      </c>
      <c r="E7" s="25">
        <v>723537.62</v>
      </c>
      <c r="F7" s="23">
        <f t="shared" si="0"/>
        <v>43412.2572</v>
      </c>
      <c r="G7" s="50">
        <v>1</v>
      </c>
      <c r="J7" s="22"/>
    </row>
    <row r="8" spans="1:11" s="2" customFormat="1" ht="38.25" customHeight="1" outlineLevel="1" x14ac:dyDescent="0.25">
      <c r="A8" s="51">
        <v>4</v>
      </c>
      <c r="B8" s="69" t="s">
        <v>14</v>
      </c>
      <c r="C8" s="67" t="s">
        <v>15</v>
      </c>
      <c r="D8" s="7">
        <v>0.106</v>
      </c>
      <c r="E8" s="25">
        <v>723537.62</v>
      </c>
      <c r="F8" s="23">
        <f t="shared" si="0"/>
        <v>76694.98771999999</v>
      </c>
      <c r="G8" s="50">
        <v>3</v>
      </c>
      <c r="J8" s="22"/>
    </row>
    <row r="9" spans="1:11" s="2" customFormat="1" ht="43.5" customHeight="1" outlineLevel="1" x14ac:dyDescent="0.25">
      <c r="A9" s="51">
        <v>5</v>
      </c>
      <c r="B9" s="69" t="s">
        <v>16</v>
      </c>
      <c r="C9" s="67" t="s">
        <v>17</v>
      </c>
      <c r="D9" s="7">
        <v>4.4999999999999998E-2</v>
      </c>
      <c r="E9" s="25">
        <v>723537.62</v>
      </c>
      <c r="F9" s="23">
        <f t="shared" si="0"/>
        <v>32559.192899999998</v>
      </c>
      <c r="G9" s="50">
        <v>1</v>
      </c>
      <c r="J9" s="22"/>
    </row>
    <row r="10" spans="1:11" s="2" customFormat="1" ht="38.25" customHeight="1" outlineLevel="1" x14ac:dyDescent="0.25">
      <c r="A10" s="51">
        <v>6</v>
      </c>
      <c r="B10" s="69" t="s">
        <v>19</v>
      </c>
      <c r="C10" s="67" t="s">
        <v>20</v>
      </c>
      <c r="D10" s="7">
        <v>0.08</v>
      </c>
      <c r="E10" s="25">
        <v>723537.62</v>
      </c>
      <c r="F10" s="23">
        <f t="shared" si="0"/>
        <v>57883.009599999998</v>
      </c>
      <c r="G10" s="50">
        <v>2</v>
      </c>
      <c r="J10" s="22"/>
    </row>
    <row r="11" spans="1:11" s="2" customFormat="1" ht="38.25" customHeight="1" outlineLevel="1" x14ac:dyDescent="0.25">
      <c r="A11" s="51">
        <v>7</v>
      </c>
      <c r="B11" s="69" t="s">
        <v>21</v>
      </c>
      <c r="C11" s="67" t="s">
        <v>22</v>
      </c>
      <c r="D11" s="7">
        <v>1.7500000000000002E-2</v>
      </c>
      <c r="E11" s="25">
        <v>723537.62</v>
      </c>
      <c r="F11" s="23">
        <f t="shared" si="0"/>
        <v>12661.908350000002</v>
      </c>
      <c r="G11" s="50">
        <v>1</v>
      </c>
      <c r="J11" s="22"/>
    </row>
    <row r="12" spans="1:11" s="2" customFormat="1" ht="38.25" customHeight="1" outlineLevel="1" x14ac:dyDescent="0.25">
      <c r="A12" s="51">
        <v>8</v>
      </c>
      <c r="B12" s="69" t="s">
        <v>24</v>
      </c>
      <c r="C12" s="67" t="s">
        <v>25</v>
      </c>
      <c r="D12" s="7">
        <v>0.04</v>
      </c>
      <c r="E12" s="25">
        <v>723537.62</v>
      </c>
      <c r="F12" s="23">
        <f t="shared" si="0"/>
        <v>28941.504799999999</v>
      </c>
      <c r="G12" s="50">
        <v>1</v>
      </c>
      <c r="J12" s="22"/>
    </row>
    <row r="13" spans="1:11" s="2" customFormat="1" ht="38.25" customHeight="1" outlineLevel="1" x14ac:dyDescent="0.25">
      <c r="A13" s="51">
        <v>9</v>
      </c>
      <c r="B13" s="69" t="s">
        <v>26</v>
      </c>
      <c r="C13" s="67" t="s">
        <v>27</v>
      </c>
      <c r="D13" s="7">
        <v>6.7500000000000004E-2</v>
      </c>
      <c r="E13" s="25">
        <v>723537.62</v>
      </c>
      <c r="F13" s="23">
        <f t="shared" si="0"/>
        <v>48838.789350000006</v>
      </c>
      <c r="G13" s="50">
        <v>2</v>
      </c>
      <c r="J13" s="22"/>
    </row>
    <row r="14" spans="1:11" s="2" customFormat="1" ht="38.25" customHeight="1" outlineLevel="1" x14ac:dyDescent="0.25">
      <c r="A14" s="51">
        <v>10</v>
      </c>
      <c r="B14" s="69" t="s">
        <v>28</v>
      </c>
      <c r="C14" s="67" t="s">
        <v>29</v>
      </c>
      <c r="D14" s="7">
        <v>5.45E-2</v>
      </c>
      <c r="E14" s="25">
        <v>723537.62</v>
      </c>
      <c r="F14" s="23">
        <f t="shared" si="0"/>
        <v>39432.800289999999</v>
      </c>
      <c r="G14" s="50">
        <v>2</v>
      </c>
      <c r="J14" s="22"/>
    </row>
    <row r="15" spans="1:11" s="2" customFormat="1" ht="38.25" customHeight="1" outlineLevel="1" x14ac:dyDescent="0.25">
      <c r="A15" s="51">
        <v>11</v>
      </c>
      <c r="B15" s="69" t="s">
        <v>30</v>
      </c>
      <c r="C15" s="67" t="s">
        <v>31</v>
      </c>
      <c r="D15" s="7">
        <v>0.08</v>
      </c>
      <c r="E15" s="25">
        <v>723537.62</v>
      </c>
      <c r="F15" s="23">
        <f t="shared" si="0"/>
        <v>57883.009599999998</v>
      </c>
      <c r="G15" s="50">
        <v>2</v>
      </c>
      <c r="J15" s="22"/>
    </row>
    <row r="16" spans="1:11" s="2" customFormat="1" ht="38.25" customHeight="1" outlineLevel="1" x14ac:dyDescent="0.25">
      <c r="A16" s="51">
        <v>12</v>
      </c>
      <c r="B16" s="69" t="s">
        <v>32</v>
      </c>
      <c r="C16" s="67" t="s">
        <v>33</v>
      </c>
      <c r="D16" s="7">
        <v>4.4999999999999998E-2</v>
      </c>
      <c r="E16" s="25">
        <v>723537.62</v>
      </c>
      <c r="F16" s="23">
        <f t="shared" si="0"/>
        <v>32559.192899999998</v>
      </c>
      <c r="G16" s="50">
        <v>1</v>
      </c>
      <c r="J16" s="22"/>
    </row>
    <row r="17" spans="1:10" s="2" customFormat="1" ht="38.25" customHeight="1" outlineLevel="1" x14ac:dyDescent="0.25">
      <c r="A17" s="51">
        <v>13</v>
      </c>
      <c r="B17" s="69" t="s">
        <v>34</v>
      </c>
      <c r="C17" s="67" t="s">
        <v>35</v>
      </c>
      <c r="D17" s="7">
        <v>3.5000000000000003E-2</v>
      </c>
      <c r="E17" s="25">
        <v>723537.62</v>
      </c>
      <c r="F17" s="23">
        <f t="shared" si="0"/>
        <v>25323.816700000003</v>
      </c>
      <c r="G17" s="50">
        <v>1</v>
      </c>
      <c r="J17" s="22"/>
    </row>
    <row r="18" spans="1:10" s="2" customFormat="1" ht="38.25" customHeight="1" outlineLevel="1" x14ac:dyDescent="0.25">
      <c r="A18" s="51">
        <v>14</v>
      </c>
      <c r="B18" s="69" t="s">
        <v>36</v>
      </c>
      <c r="C18" s="67" t="s">
        <v>37</v>
      </c>
      <c r="D18" s="7">
        <v>0.22</v>
      </c>
      <c r="E18" s="25">
        <v>723537.62</v>
      </c>
      <c r="F18" s="23">
        <f t="shared" si="0"/>
        <v>159178.2764</v>
      </c>
      <c r="G18" s="50">
        <v>5</v>
      </c>
      <c r="J18" s="22"/>
    </row>
    <row r="19" spans="1:10" s="2" customFormat="1" ht="38.25" customHeight="1" outlineLevel="1" x14ac:dyDescent="0.25">
      <c r="A19" s="51">
        <v>15</v>
      </c>
      <c r="B19" s="69" t="s">
        <v>38</v>
      </c>
      <c r="C19" s="67" t="s">
        <v>39</v>
      </c>
      <c r="D19" s="7">
        <v>1.4999999999999999E-2</v>
      </c>
      <c r="E19" s="25">
        <v>723537.62</v>
      </c>
      <c r="F19" s="23">
        <f t="shared" si="0"/>
        <v>10853.0643</v>
      </c>
      <c r="G19" s="50">
        <v>1</v>
      </c>
      <c r="J19" s="22"/>
    </row>
    <row r="20" spans="1:10" s="2" customFormat="1" ht="38.25" customHeight="1" outlineLevel="1" x14ac:dyDescent="0.25">
      <c r="A20" s="51">
        <v>16</v>
      </c>
      <c r="B20" s="69" t="s">
        <v>40</v>
      </c>
      <c r="C20" s="67" t="s">
        <v>41</v>
      </c>
      <c r="D20" s="7">
        <v>6.7500000000000004E-2</v>
      </c>
      <c r="E20" s="25">
        <v>723537.62</v>
      </c>
      <c r="F20" s="23">
        <f t="shared" si="0"/>
        <v>48838.789350000006</v>
      </c>
      <c r="G20" s="50">
        <v>2</v>
      </c>
      <c r="J20" s="22"/>
    </row>
    <row r="21" spans="1:10" s="2" customFormat="1" ht="38.25" customHeight="1" outlineLevel="1" x14ac:dyDescent="0.25">
      <c r="A21" s="51">
        <v>17</v>
      </c>
      <c r="B21" s="69" t="s">
        <v>42</v>
      </c>
      <c r="C21" s="67" t="s">
        <v>43</v>
      </c>
      <c r="D21" s="7">
        <v>0.06</v>
      </c>
      <c r="E21" s="25">
        <v>723537.62</v>
      </c>
      <c r="F21" s="23">
        <f t="shared" si="0"/>
        <v>43412.2572</v>
      </c>
      <c r="G21" s="50">
        <v>2</v>
      </c>
      <c r="J21" s="22"/>
    </row>
    <row r="22" spans="1:10" s="2" customFormat="1" ht="38.25" customHeight="1" outlineLevel="1" x14ac:dyDescent="0.25">
      <c r="A22" s="51">
        <v>18</v>
      </c>
      <c r="B22" s="69" t="s">
        <v>44</v>
      </c>
      <c r="C22" s="67" t="s">
        <v>45</v>
      </c>
      <c r="D22" s="7">
        <v>7.4999999999999997E-2</v>
      </c>
      <c r="E22" s="25">
        <v>723537.62</v>
      </c>
      <c r="F22" s="23">
        <f t="shared" si="0"/>
        <v>54265.321499999998</v>
      </c>
      <c r="G22" s="50">
        <v>2</v>
      </c>
      <c r="J22" s="22"/>
    </row>
    <row r="23" spans="1:10" s="2" customFormat="1" ht="38.25" customHeight="1" outlineLevel="1" x14ac:dyDescent="0.25">
      <c r="A23" s="51">
        <v>19</v>
      </c>
      <c r="B23" s="69" t="s">
        <v>46</v>
      </c>
      <c r="C23" s="67" t="s">
        <v>47</v>
      </c>
      <c r="D23" s="7">
        <v>7.1999999999999995E-2</v>
      </c>
      <c r="E23" s="25">
        <v>723537.62</v>
      </c>
      <c r="F23" s="23">
        <f t="shared" si="0"/>
        <v>52094.708639999997</v>
      </c>
      <c r="G23" s="50">
        <v>2</v>
      </c>
      <c r="J23" s="22"/>
    </row>
    <row r="24" spans="1:10" s="2" customFormat="1" ht="38.25" customHeight="1" outlineLevel="1" x14ac:dyDescent="0.25">
      <c r="A24" s="51">
        <v>20</v>
      </c>
      <c r="B24" s="69" t="s">
        <v>48</v>
      </c>
      <c r="C24" s="67" t="s">
        <v>49</v>
      </c>
      <c r="D24" s="7">
        <v>0.09</v>
      </c>
      <c r="E24" s="25">
        <v>723537.62</v>
      </c>
      <c r="F24" s="23">
        <f t="shared" si="0"/>
        <v>65118.385799999996</v>
      </c>
      <c r="G24" s="50">
        <v>2</v>
      </c>
      <c r="J24" s="22"/>
    </row>
    <row r="25" spans="1:10" s="2" customFormat="1" ht="38.25" customHeight="1" outlineLevel="1" x14ac:dyDescent="0.25">
      <c r="A25" s="51">
        <v>21</v>
      </c>
      <c r="B25" s="69" t="s">
        <v>50</v>
      </c>
      <c r="C25" s="67" t="s">
        <v>51</v>
      </c>
      <c r="D25" s="7">
        <v>4.2500000000000003E-2</v>
      </c>
      <c r="E25" s="25">
        <v>723537.62</v>
      </c>
      <c r="F25" s="23">
        <f t="shared" si="0"/>
        <v>30750.348850000002</v>
      </c>
      <c r="G25" s="50">
        <v>1</v>
      </c>
      <c r="J25" s="22"/>
    </row>
    <row r="26" spans="1:10" s="2" customFormat="1" ht="38.25" customHeight="1" outlineLevel="1" x14ac:dyDescent="0.25">
      <c r="A26" s="51">
        <v>22</v>
      </c>
      <c r="B26" s="69" t="s">
        <v>53</v>
      </c>
      <c r="C26" s="67" t="s">
        <v>54</v>
      </c>
      <c r="D26" s="7">
        <v>0.125</v>
      </c>
      <c r="E26" s="25">
        <v>723537.62</v>
      </c>
      <c r="F26" s="23">
        <f t="shared" si="0"/>
        <v>90442.202499999999</v>
      </c>
      <c r="G26" s="50">
        <v>3</v>
      </c>
      <c r="J26" s="22"/>
    </row>
    <row r="27" spans="1:10" s="2" customFormat="1" ht="38.25" customHeight="1" outlineLevel="1" x14ac:dyDescent="0.25">
      <c r="A27" s="51">
        <v>23</v>
      </c>
      <c r="B27" s="69" t="s">
        <v>70</v>
      </c>
      <c r="C27" s="67" t="s">
        <v>71</v>
      </c>
      <c r="D27" s="7">
        <v>7.85E-2</v>
      </c>
      <c r="E27" s="25">
        <v>723537.62</v>
      </c>
      <c r="F27" s="23">
        <f t="shared" si="0"/>
        <v>56797.703170000001</v>
      </c>
      <c r="G27" s="50">
        <v>2</v>
      </c>
      <c r="J27" s="22"/>
    </row>
    <row r="28" spans="1:10" s="2" customFormat="1" ht="30" customHeight="1" thickBot="1" x14ac:dyDescent="0.3">
      <c r="A28" s="77"/>
      <c r="B28" s="78" t="s">
        <v>55</v>
      </c>
      <c r="C28" s="78"/>
      <c r="D28" s="148">
        <v>1.67</v>
      </c>
      <c r="E28" s="78"/>
      <c r="F28" s="80">
        <f>SUM(F5:F27)</f>
        <v>1208307.8254</v>
      </c>
      <c r="G28" s="81"/>
    </row>
    <row r="29" spans="1:10" s="39" customFormat="1" ht="30" customHeight="1" thickBot="1" x14ac:dyDescent="0.3">
      <c r="A29" s="287" t="s">
        <v>56</v>
      </c>
      <c r="B29" s="288"/>
      <c r="C29" s="288"/>
      <c r="D29" s="288"/>
      <c r="E29" s="288"/>
      <c r="F29" s="288"/>
      <c r="G29" s="289"/>
    </row>
    <row r="30" spans="1:10" s="2" customFormat="1" ht="46.5" customHeight="1" outlineLevel="1" x14ac:dyDescent="0.25">
      <c r="A30" s="57">
        <v>24</v>
      </c>
      <c r="B30" s="68" t="s">
        <v>57</v>
      </c>
      <c r="C30" s="58" t="s">
        <v>58</v>
      </c>
      <c r="D30" s="59">
        <v>0.06</v>
      </c>
      <c r="E30" s="60">
        <v>868631.38</v>
      </c>
      <c r="F30" s="63">
        <f>D30*E30</f>
        <v>52117.882799999999</v>
      </c>
      <c r="G30" s="64">
        <v>2</v>
      </c>
    </row>
    <row r="31" spans="1:10" s="2" customFormat="1" ht="46.5" customHeight="1" outlineLevel="1" x14ac:dyDescent="0.25">
      <c r="A31" s="51">
        <v>25</v>
      </c>
      <c r="B31" s="69" t="s">
        <v>59</v>
      </c>
      <c r="C31" s="6" t="s">
        <v>100</v>
      </c>
      <c r="D31" s="7">
        <v>7.4999999999999997E-2</v>
      </c>
      <c r="E31" s="25">
        <v>868631.38</v>
      </c>
      <c r="F31" s="35">
        <f t="shared" ref="F31:F34" si="1">D31*E31</f>
        <v>65147.353499999997</v>
      </c>
      <c r="G31" s="50">
        <v>2</v>
      </c>
    </row>
    <row r="32" spans="1:10" s="2" customFormat="1" ht="46.5" customHeight="1" outlineLevel="1" x14ac:dyDescent="0.25">
      <c r="A32" s="51">
        <v>26</v>
      </c>
      <c r="B32" s="69" t="s">
        <v>60</v>
      </c>
      <c r="C32" s="6" t="s">
        <v>61</v>
      </c>
      <c r="D32" s="7">
        <v>0.115</v>
      </c>
      <c r="E32" s="25">
        <v>868631.38</v>
      </c>
      <c r="F32" s="35">
        <f t="shared" si="1"/>
        <v>99892.608700000012</v>
      </c>
      <c r="G32" s="50">
        <v>3</v>
      </c>
    </row>
    <row r="33" spans="1:7" s="2" customFormat="1" ht="46.5" customHeight="1" outlineLevel="1" x14ac:dyDescent="0.25">
      <c r="A33" s="51">
        <v>27</v>
      </c>
      <c r="B33" s="69" t="s">
        <v>62</v>
      </c>
      <c r="C33" s="6" t="s">
        <v>63</v>
      </c>
      <c r="D33" s="7">
        <v>8.5000000000000006E-2</v>
      </c>
      <c r="E33" s="25">
        <v>868631.38</v>
      </c>
      <c r="F33" s="35">
        <f t="shared" si="1"/>
        <v>73833.667300000001</v>
      </c>
      <c r="G33" s="50">
        <v>2</v>
      </c>
    </row>
    <row r="34" spans="1:7" s="2" customFormat="1" ht="46.5" customHeight="1" outlineLevel="1" x14ac:dyDescent="0.25">
      <c r="A34" s="51">
        <v>28</v>
      </c>
      <c r="B34" s="69" t="s">
        <v>72</v>
      </c>
      <c r="C34" s="6" t="s">
        <v>73</v>
      </c>
      <c r="D34" s="7">
        <v>7.2499999999999995E-2</v>
      </c>
      <c r="E34" s="25">
        <v>868631.38</v>
      </c>
      <c r="F34" s="35">
        <f t="shared" si="1"/>
        <v>62975.775049999997</v>
      </c>
      <c r="G34" s="50">
        <v>2</v>
      </c>
    </row>
    <row r="35" spans="1:7" s="2" customFormat="1" ht="30" customHeight="1" thickBot="1" x14ac:dyDescent="0.3">
      <c r="A35" s="77"/>
      <c r="B35" s="78" t="s">
        <v>55</v>
      </c>
      <c r="C35" s="78"/>
      <c r="D35" s="79">
        <v>0.40749999999999997</v>
      </c>
      <c r="E35" s="78"/>
      <c r="F35" s="80">
        <f>SUM(F30:F34)</f>
        <v>353967.28735</v>
      </c>
      <c r="G35" s="82"/>
    </row>
    <row r="36" spans="1:7" s="2" customFormat="1" ht="30" customHeight="1" thickBot="1" x14ac:dyDescent="0.3">
      <c r="A36" s="287" t="s">
        <v>74</v>
      </c>
      <c r="B36" s="288"/>
      <c r="C36" s="288"/>
      <c r="D36" s="288"/>
      <c r="E36" s="288"/>
      <c r="F36" s="288"/>
      <c r="G36" s="289"/>
    </row>
    <row r="37" spans="1:7" s="2" customFormat="1" ht="45" customHeight="1" x14ac:dyDescent="0.25">
      <c r="A37" s="57">
        <v>29</v>
      </c>
      <c r="B37" s="68" t="s">
        <v>75</v>
      </c>
      <c r="C37" s="58" t="s">
        <v>99</v>
      </c>
      <c r="D37" s="149">
        <v>0.08</v>
      </c>
      <c r="E37" s="65">
        <v>1046440.74</v>
      </c>
      <c r="F37" s="63">
        <f>D37*E37</f>
        <v>83715.2592</v>
      </c>
      <c r="G37" s="64">
        <v>2</v>
      </c>
    </row>
    <row r="38" spans="1:7" ht="27" customHeight="1" x14ac:dyDescent="0.25">
      <c r="A38" s="52"/>
      <c r="B38" s="11" t="s">
        <v>55</v>
      </c>
      <c r="C38" s="11"/>
      <c r="D38" s="12">
        <f>D37</f>
        <v>0.08</v>
      </c>
      <c r="E38" s="11"/>
      <c r="F38" s="24">
        <f>F37</f>
        <v>83715.2592</v>
      </c>
      <c r="G38" s="53"/>
    </row>
    <row r="39" spans="1:7" ht="38.25" customHeight="1" thickBot="1" x14ac:dyDescent="0.3">
      <c r="A39" s="70"/>
      <c r="B39" s="71" t="s">
        <v>68</v>
      </c>
      <c r="C39" s="72"/>
      <c r="D39" s="75">
        <f>D28+D35+D38</f>
        <v>2.1574999999999998</v>
      </c>
      <c r="E39" s="73"/>
      <c r="F39" s="76">
        <f>F28+F35+F38</f>
        <v>1645990.3719499998</v>
      </c>
      <c r="G39" s="74"/>
    </row>
    <row r="40" spans="1:7" ht="27.75" customHeight="1" x14ac:dyDescent="0.25">
      <c r="A40" s="40"/>
      <c r="B40" s="41"/>
      <c r="C40" s="42"/>
      <c r="D40" s="43"/>
      <c r="E40" s="44"/>
      <c r="F40" s="45"/>
      <c r="G40" s="46"/>
    </row>
    <row r="41" spans="1:7" ht="35.25" customHeight="1" x14ac:dyDescent="0.25">
      <c r="A41" s="290" t="s">
        <v>64</v>
      </c>
      <c r="B41" s="291"/>
      <c r="C41" s="291"/>
      <c r="D41" s="291"/>
      <c r="E41" s="291"/>
      <c r="F41" s="291"/>
      <c r="G41" s="292"/>
    </row>
    <row r="42" spans="1:7" ht="33.75" customHeight="1" x14ac:dyDescent="0.25">
      <c r="A42" s="3">
        <v>1</v>
      </c>
      <c r="B42" s="281" t="s">
        <v>65</v>
      </c>
      <c r="C42" s="282"/>
      <c r="D42" s="37">
        <v>0.8</v>
      </c>
      <c r="E42" s="38"/>
      <c r="F42" s="35">
        <v>882203</v>
      </c>
      <c r="G42" s="3"/>
    </row>
    <row r="43" spans="1:7" ht="33.75" customHeight="1" x14ac:dyDescent="0.25">
      <c r="A43" s="3">
        <v>2</v>
      </c>
      <c r="B43" s="281" t="s">
        <v>67</v>
      </c>
      <c r="C43" s="282"/>
      <c r="D43" s="37"/>
      <c r="E43" s="38"/>
      <c r="F43" s="35">
        <v>1386441</v>
      </c>
      <c r="G43" s="3"/>
    </row>
    <row r="44" spans="1:7" ht="15.75" x14ac:dyDescent="0.25">
      <c r="A44" s="11"/>
      <c r="B44" s="11" t="s">
        <v>55</v>
      </c>
      <c r="C44" s="11"/>
      <c r="D44" s="12">
        <f>D42+D43</f>
        <v>0.8</v>
      </c>
      <c r="E44" s="11"/>
      <c r="F44" s="24">
        <f>SUM(F42:F43)</f>
        <v>2268644</v>
      </c>
      <c r="G44" s="11"/>
    </row>
    <row r="47" spans="1:7" ht="65.25" customHeight="1" x14ac:dyDescent="0.35">
      <c r="A47" s="84" t="s">
        <v>165</v>
      </c>
      <c r="B47" s="84"/>
      <c r="C47" s="84"/>
      <c r="D47" s="84"/>
      <c r="E47" s="84"/>
      <c r="F47" s="85"/>
      <c r="G47" s="86" t="s">
        <v>166</v>
      </c>
    </row>
    <row r="48" spans="1:7" x14ac:dyDescent="0.25">
      <c r="F48" s="36"/>
    </row>
  </sheetData>
  <mergeCells count="7">
    <mergeCell ref="B43:C43"/>
    <mergeCell ref="A4:G4"/>
    <mergeCell ref="A1:G1"/>
    <mergeCell ref="A29:G29"/>
    <mergeCell ref="A36:G36"/>
    <mergeCell ref="A41:G41"/>
    <mergeCell ref="B42:C42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rowBreaks count="1" manualBreakCount="1">
    <brk id="47" max="6" man="1"/>
  </rowBreaks>
  <colBreaks count="1" manualBreakCount="1">
    <brk id="7" max="5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5"/>
  <sheetViews>
    <sheetView topLeftCell="A22" zoomScale="73" zoomScaleNormal="73" workbookViewId="0">
      <selection activeCell="F48" sqref="F48"/>
    </sheetView>
  </sheetViews>
  <sheetFormatPr defaultColWidth="25.140625" defaultRowHeight="17.25" customHeight="1" outlineLevelCol="1" x14ac:dyDescent="0.25"/>
  <cols>
    <col min="1" max="1" width="25.140625" style="87"/>
    <col min="2" max="2" width="25.140625" style="87" hidden="1" customWidth="1" outlineLevel="1"/>
    <col min="3" max="3" width="29.28515625" style="87" customWidth="1" collapsed="1"/>
    <col min="4" max="4" width="25.140625" style="87"/>
    <col min="5" max="5" width="36.28515625" style="172" customWidth="1"/>
    <col min="6" max="6" width="34" style="172" customWidth="1"/>
    <col min="7" max="10" width="25.140625" style="172"/>
    <col min="11" max="16384" width="25.140625" style="87"/>
  </cols>
  <sheetData>
    <row r="2" spans="1:10" ht="17.25" customHeight="1" x14ac:dyDescent="0.25">
      <c r="A2" s="189" t="s">
        <v>202</v>
      </c>
      <c r="B2" s="189" t="s">
        <v>290</v>
      </c>
      <c r="C2" s="189" t="s">
        <v>291</v>
      </c>
      <c r="D2" s="189" t="s">
        <v>292</v>
      </c>
      <c r="H2" s="87"/>
      <c r="I2" s="87"/>
      <c r="J2" s="87"/>
    </row>
    <row r="3" spans="1:10" ht="17.25" customHeight="1" x14ac:dyDescent="0.25">
      <c r="A3" s="345" t="s">
        <v>283</v>
      </c>
      <c r="B3" s="345"/>
      <c r="C3" s="345"/>
      <c r="D3" s="345"/>
      <c r="H3" s="87"/>
      <c r="I3" s="87"/>
      <c r="J3" s="87"/>
    </row>
    <row r="4" spans="1:10" ht="17.25" customHeight="1" x14ac:dyDescent="0.25">
      <c r="A4" s="189">
        <v>31</v>
      </c>
      <c r="B4" s="189">
        <v>2016</v>
      </c>
      <c r="C4" s="173" t="s">
        <v>293</v>
      </c>
      <c r="D4" s="189">
        <v>0.08</v>
      </c>
      <c r="F4" s="192"/>
      <c r="H4" s="87"/>
      <c r="I4" s="87"/>
      <c r="J4" s="87"/>
    </row>
    <row r="5" spans="1:10" ht="17.25" customHeight="1" x14ac:dyDescent="0.25">
      <c r="A5" s="189">
        <v>112</v>
      </c>
      <c r="B5" s="189">
        <v>2016</v>
      </c>
      <c r="C5" s="173" t="s">
        <v>294</v>
      </c>
      <c r="D5" s="189">
        <v>0.14000000000000001</v>
      </c>
      <c r="H5" s="87"/>
      <c r="I5" s="87"/>
      <c r="J5" s="87"/>
    </row>
    <row r="6" spans="1:10" ht="17.25" customHeight="1" x14ac:dyDescent="0.25">
      <c r="A6" s="189">
        <v>121</v>
      </c>
      <c r="B6" s="189">
        <v>2016</v>
      </c>
      <c r="C6" s="173" t="s">
        <v>295</v>
      </c>
      <c r="D6" s="189">
        <v>0.2</v>
      </c>
      <c r="G6" s="174"/>
      <c r="H6" s="87"/>
      <c r="I6" s="87"/>
      <c r="J6" s="87"/>
    </row>
    <row r="7" spans="1:10" ht="17.25" customHeight="1" x14ac:dyDescent="0.25">
      <c r="A7" s="189">
        <v>129</v>
      </c>
      <c r="B7" s="189">
        <v>2016</v>
      </c>
      <c r="C7" s="173" t="s">
        <v>296</v>
      </c>
      <c r="D7" s="189">
        <v>0.1</v>
      </c>
      <c r="F7" s="172">
        <f>(0.08+0.14+0.2+0.349+0.353+0.158)*798.09+(0.1+0.12+0.1+0.06+0.09+0.2+0.06+0.043+0.235)*751.7+0.275*803.38</f>
        <v>2000.1982999999998</v>
      </c>
      <c r="H7" s="87"/>
      <c r="I7" s="87"/>
      <c r="J7" s="87"/>
    </row>
    <row r="8" spans="1:10" ht="17.25" customHeight="1" x14ac:dyDescent="0.25">
      <c r="A8" s="130">
        <v>130</v>
      </c>
      <c r="B8" s="130">
        <v>2016</v>
      </c>
      <c r="C8" s="180" t="s">
        <v>297</v>
      </c>
      <c r="D8" s="130">
        <v>0.78</v>
      </c>
      <c r="E8" s="172" t="s">
        <v>337</v>
      </c>
      <c r="F8" s="172">
        <f>(0.08+0.14+0.2+0.349+0.353+0.158)+(0.1+0.12+0.1+0.06+0.09+0.2+0.06+0.043+0.235)+0.275</f>
        <v>2.5629999999999997</v>
      </c>
      <c r="H8" s="87"/>
      <c r="I8" s="87"/>
      <c r="J8" s="87"/>
    </row>
    <row r="9" spans="1:10" ht="17.25" customHeight="1" x14ac:dyDescent="0.25">
      <c r="A9" s="189">
        <v>147</v>
      </c>
      <c r="B9" s="189">
        <v>2016</v>
      </c>
      <c r="C9" s="173" t="s">
        <v>298</v>
      </c>
      <c r="D9" s="189">
        <v>0.12</v>
      </c>
      <c r="H9" s="87"/>
      <c r="I9" s="87"/>
      <c r="J9" s="87"/>
    </row>
    <row r="10" spans="1:10" ht="17.25" customHeight="1" x14ac:dyDescent="0.25">
      <c r="A10" s="189">
        <v>149</v>
      </c>
      <c r="B10" s="189">
        <v>2016</v>
      </c>
      <c r="C10" s="173" t="s">
        <v>299</v>
      </c>
      <c r="D10" s="189">
        <v>0.1</v>
      </c>
      <c r="H10" s="87"/>
      <c r="I10" s="87"/>
      <c r="J10" s="87"/>
    </row>
    <row r="11" spans="1:10" ht="17.25" customHeight="1" x14ac:dyDescent="0.25">
      <c r="A11" s="189">
        <v>6</v>
      </c>
      <c r="B11" s="189">
        <v>2017</v>
      </c>
      <c r="C11" s="173" t="s">
        <v>300</v>
      </c>
      <c r="D11" s="189">
        <v>0.06</v>
      </c>
      <c r="H11" s="87"/>
      <c r="I11" s="87"/>
      <c r="J11" s="87"/>
    </row>
    <row r="12" spans="1:10" ht="17.25" customHeight="1" x14ac:dyDescent="0.25">
      <c r="A12" s="147">
        <v>19</v>
      </c>
      <c r="B12" s="147">
        <v>2017</v>
      </c>
      <c r="C12" s="227" t="s">
        <v>301</v>
      </c>
      <c r="D12" s="147">
        <v>0.28499999999999998</v>
      </c>
      <c r="E12" s="191">
        <v>0.34899999999999998</v>
      </c>
      <c r="F12" s="172" t="s">
        <v>334</v>
      </c>
      <c r="H12" s="87"/>
      <c r="I12" s="87"/>
      <c r="J12" s="87"/>
    </row>
    <row r="13" spans="1:10" ht="17.25" customHeight="1" x14ac:dyDescent="0.25">
      <c r="A13" s="147">
        <v>26</v>
      </c>
      <c r="B13" s="147">
        <v>2017</v>
      </c>
      <c r="C13" s="227" t="s">
        <v>302</v>
      </c>
      <c r="D13" s="147">
        <v>0.28299999999999997</v>
      </c>
      <c r="E13" s="191">
        <v>0.35299999999999998</v>
      </c>
      <c r="F13" s="172" t="s">
        <v>333</v>
      </c>
      <c r="H13" s="87"/>
      <c r="I13" s="87"/>
      <c r="J13" s="87"/>
    </row>
    <row r="14" spans="1:10" ht="17.25" customHeight="1" x14ac:dyDescent="0.25">
      <c r="A14" s="181">
        <v>27</v>
      </c>
      <c r="B14" s="181">
        <v>2017</v>
      </c>
      <c r="C14" s="182" t="s">
        <v>303</v>
      </c>
      <c r="D14" s="181">
        <v>8.5000000000000006E-2</v>
      </c>
      <c r="E14" s="172" t="s">
        <v>328</v>
      </c>
      <c r="H14" s="87"/>
      <c r="I14" s="87"/>
      <c r="J14" s="87"/>
    </row>
    <row r="15" spans="1:10" ht="17.25" customHeight="1" x14ac:dyDescent="0.25">
      <c r="A15" s="181">
        <v>32</v>
      </c>
      <c r="B15" s="181">
        <v>2017</v>
      </c>
      <c r="C15" s="182" t="s">
        <v>304</v>
      </c>
      <c r="D15" s="181">
        <v>5.0999999999999997E-2</v>
      </c>
      <c r="E15" s="172" t="s">
        <v>328</v>
      </c>
      <c r="H15" s="87"/>
      <c r="I15" s="87"/>
      <c r="J15" s="87"/>
    </row>
    <row r="16" spans="1:10" ht="17.25" customHeight="1" x14ac:dyDescent="0.25">
      <c r="A16" s="178">
        <v>34</v>
      </c>
      <c r="B16" s="178">
        <v>2017</v>
      </c>
      <c r="C16" s="179" t="s">
        <v>305</v>
      </c>
      <c r="D16" s="178">
        <v>0.06</v>
      </c>
      <c r="E16" s="172" t="s">
        <v>269</v>
      </c>
      <c r="H16" s="87"/>
      <c r="I16" s="87"/>
      <c r="J16" s="87"/>
    </row>
    <row r="17" spans="1:10" ht="17.25" customHeight="1" x14ac:dyDescent="0.25">
      <c r="A17" s="189">
        <v>35</v>
      </c>
      <c r="B17" s="189">
        <v>2017</v>
      </c>
      <c r="C17" s="173" t="s">
        <v>306</v>
      </c>
      <c r="D17" s="189">
        <v>0.09</v>
      </c>
      <c r="H17" s="87"/>
      <c r="I17" s="87"/>
      <c r="J17" s="87"/>
    </row>
    <row r="18" spans="1:10" ht="17.25" customHeight="1" x14ac:dyDescent="0.25">
      <c r="A18" s="189">
        <v>42</v>
      </c>
      <c r="B18" s="189">
        <v>2017</v>
      </c>
      <c r="C18" s="173" t="s">
        <v>307</v>
      </c>
      <c r="D18" s="189">
        <v>0.2</v>
      </c>
      <c r="G18" s="87"/>
      <c r="H18" s="87"/>
      <c r="I18" s="87"/>
      <c r="J18" s="87"/>
    </row>
    <row r="19" spans="1:10" ht="17.25" customHeight="1" x14ac:dyDescent="0.25">
      <c r="A19" s="189">
        <v>46</v>
      </c>
      <c r="B19" s="189">
        <v>2017</v>
      </c>
      <c r="C19" s="173" t="s">
        <v>308</v>
      </c>
      <c r="D19" s="189">
        <v>0.06</v>
      </c>
      <c r="G19" s="87"/>
      <c r="H19" s="87"/>
      <c r="I19" s="87"/>
      <c r="J19" s="87"/>
    </row>
    <row r="20" spans="1:10" ht="17.25" customHeight="1" x14ac:dyDescent="0.25">
      <c r="A20" s="189">
        <v>57</v>
      </c>
      <c r="B20" s="189">
        <v>2017</v>
      </c>
      <c r="C20" s="173" t="s">
        <v>309</v>
      </c>
      <c r="D20" s="189">
        <v>4.2999999999999997E-2</v>
      </c>
      <c r="G20" s="87"/>
      <c r="H20" s="87"/>
      <c r="I20" s="87"/>
      <c r="J20" s="87"/>
    </row>
    <row r="21" spans="1:10" ht="17.25" customHeight="1" x14ac:dyDescent="0.25">
      <c r="A21" s="189">
        <v>61</v>
      </c>
      <c r="B21" s="189">
        <v>2017</v>
      </c>
      <c r="C21" s="173" t="s">
        <v>310</v>
      </c>
      <c r="D21" s="189">
        <v>0.27500000000000002</v>
      </c>
      <c r="G21" s="87"/>
      <c r="H21" s="87"/>
      <c r="I21" s="87"/>
      <c r="J21" s="87"/>
    </row>
    <row r="22" spans="1:10" ht="17.25" customHeight="1" x14ac:dyDescent="0.25">
      <c r="A22" s="189">
        <v>92</v>
      </c>
      <c r="B22" s="189">
        <v>2017</v>
      </c>
      <c r="C22" s="173" t="s">
        <v>311</v>
      </c>
      <c r="D22" s="189">
        <v>0.23499999999999999</v>
      </c>
      <c r="G22" s="87"/>
      <c r="H22" s="87"/>
      <c r="I22" s="87"/>
      <c r="J22" s="87"/>
    </row>
    <row r="23" spans="1:10" ht="17.25" customHeight="1" x14ac:dyDescent="0.25">
      <c r="A23" s="189">
        <v>109</v>
      </c>
      <c r="B23" s="189">
        <v>2017</v>
      </c>
      <c r="C23" s="173" t="s">
        <v>312</v>
      </c>
      <c r="D23" s="189">
        <v>0.158</v>
      </c>
      <c r="F23" s="175"/>
      <c r="G23" s="87"/>
      <c r="H23" s="87"/>
      <c r="I23" s="87"/>
      <c r="J23" s="87"/>
    </row>
    <row r="24" spans="1:10" ht="17.25" customHeight="1" x14ac:dyDescent="0.25">
      <c r="A24" s="189"/>
      <c r="B24" s="189"/>
      <c r="C24" s="202" t="s">
        <v>338</v>
      </c>
      <c r="D24" s="189">
        <f xml:space="preserve"> SUM(D4:D23)-D8-D16</f>
        <v>2.5649999999999999</v>
      </c>
      <c r="E24" s="172">
        <f>(0.08+0.14+0.2+0.349+0.353+0.158)+(0.1+0.12+0.1+0.06+0.09+0.2+0.06+0.043+0.235+0.051+0.085)+0.275</f>
        <v>2.6989999999999994</v>
      </c>
      <c r="F24" s="175"/>
      <c r="G24" s="87"/>
      <c r="H24" s="87"/>
      <c r="I24" s="87"/>
      <c r="J24" s="87"/>
    </row>
    <row r="25" spans="1:10" s="193" customFormat="1" ht="17.25" customHeight="1" x14ac:dyDescent="0.25">
      <c r="A25" s="203"/>
      <c r="B25" s="203"/>
      <c r="C25" s="204" t="s">
        <v>339</v>
      </c>
      <c r="D25" s="205">
        <f>SUM(D4:D23)</f>
        <v>3.4050000000000002</v>
      </c>
      <c r="E25" s="194"/>
      <c r="F25" s="195"/>
    </row>
    <row r="26" spans="1:10" ht="17.25" customHeight="1" x14ac:dyDescent="0.25">
      <c r="A26" s="340" t="s">
        <v>313</v>
      </c>
      <c r="B26" s="340"/>
      <c r="C26" s="340"/>
      <c r="D26" s="340"/>
      <c r="G26" s="87"/>
      <c r="H26" s="87"/>
      <c r="I26" s="87"/>
      <c r="J26" s="87"/>
    </row>
    <row r="27" spans="1:10" ht="17.25" customHeight="1" x14ac:dyDescent="0.25">
      <c r="A27" s="183">
        <v>49</v>
      </c>
      <c r="B27" s="176"/>
      <c r="C27" s="177" t="s">
        <v>314</v>
      </c>
      <c r="D27" s="177">
        <v>0.35</v>
      </c>
      <c r="E27" s="172" t="s">
        <v>342</v>
      </c>
      <c r="G27" s="87"/>
      <c r="H27" s="87"/>
      <c r="I27" s="87"/>
      <c r="J27" s="87"/>
    </row>
    <row r="28" spans="1:10" ht="17.25" customHeight="1" x14ac:dyDescent="0.25">
      <c r="A28" s="183">
        <v>59</v>
      </c>
      <c r="B28" s="176"/>
      <c r="C28" s="177" t="s">
        <v>315</v>
      </c>
      <c r="D28" s="177">
        <v>0.1</v>
      </c>
      <c r="G28" s="87"/>
      <c r="H28" s="87"/>
      <c r="I28" s="87"/>
      <c r="J28" s="87"/>
    </row>
    <row r="29" spans="1:10" s="188" customFormat="1" ht="17.25" customHeight="1" x14ac:dyDescent="0.25">
      <c r="A29" s="185">
        <v>102</v>
      </c>
      <c r="B29" s="186"/>
      <c r="C29" s="186" t="s">
        <v>316</v>
      </c>
      <c r="D29" s="186">
        <v>0.64</v>
      </c>
      <c r="E29" s="187"/>
      <c r="F29" s="187"/>
    </row>
    <row r="30" spans="1:10" ht="17.25" customHeight="1" x14ac:dyDescent="0.25">
      <c r="A30" s="132">
        <v>108</v>
      </c>
      <c r="B30" s="177"/>
      <c r="C30" s="177" t="s">
        <v>317</v>
      </c>
      <c r="D30" s="177">
        <v>0</v>
      </c>
      <c r="E30" s="191">
        <v>8.5000000000000006E-2</v>
      </c>
      <c r="F30" s="172" t="s">
        <v>335</v>
      </c>
      <c r="G30" s="87"/>
      <c r="H30" s="87"/>
      <c r="I30" s="87"/>
      <c r="J30" s="87"/>
    </row>
    <row r="31" spans="1:10" ht="17.25" customHeight="1" x14ac:dyDescent="0.25">
      <c r="A31" s="132">
        <v>109</v>
      </c>
      <c r="B31" s="177"/>
      <c r="C31" s="177" t="s">
        <v>318</v>
      </c>
      <c r="D31" s="177">
        <v>0</v>
      </c>
      <c r="E31" s="191">
        <v>0.06</v>
      </c>
      <c r="F31" s="172" t="s">
        <v>336</v>
      </c>
      <c r="G31" s="87"/>
      <c r="H31" s="87"/>
      <c r="I31" s="87"/>
      <c r="J31" s="87"/>
    </row>
    <row r="32" spans="1:10" s="188" customFormat="1" ht="17.25" customHeight="1" x14ac:dyDescent="0.25">
      <c r="A32" s="185">
        <v>156</v>
      </c>
      <c r="B32" s="186"/>
      <c r="C32" s="186" t="s">
        <v>319</v>
      </c>
      <c r="D32" s="186">
        <v>0.125</v>
      </c>
      <c r="E32" s="187"/>
      <c r="F32" s="187"/>
    </row>
    <row r="33" spans="1:10" s="188" customFormat="1" ht="17.25" customHeight="1" x14ac:dyDescent="0.25">
      <c r="A33" s="185">
        <v>38</v>
      </c>
      <c r="B33" s="186"/>
      <c r="C33" s="186" t="s">
        <v>320</v>
      </c>
      <c r="D33" s="186">
        <v>8.5000000000000006E-2</v>
      </c>
      <c r="E33" s="187"/>
      <c r="F33" s="187"/>
    </row>
    <row r="34" spans="1:10" s="188" customFormat="1" ht="17.25" customHeight="1" x14ac:dyDescent="0.25">
      <c r="A34" s="185">
        <v>41</v>
      </c>
      <c r="B34" s="186"/>
      <c r="C34" s="186" t="s">
        <v>321</v>
      </c>
      <c r="D34" s="186">
        <v>0.19</v>
      </c>
      <c r="E34" s="187"/>
      <c r="F34" s="187"/>
    </row>
    <row r="35" spans="1:10" ht="17.25" customHeight="1" x14ac:dyDescent="0.25">
      <c r="A35" s="183">
        <v>55</v>
      </c>
      <c r="B35" s="176"/>
      <c r="C35" s="176" t="s">
        <v>322</v>
      </c>
      <c r="D35" s="176">
        <v>0.28000000000000003</v>
      </c>
      <c r="G35" s="87"/>
      <c r="H35" s="87"/>
      <c r="I35" s="87"/>
      <c r="J35" s="87"/>
    </row>
    <row r="36" spans="1:10" s="188" customFormat="1" ht="17.25" customHeight="1" x14ac:dyDescent="0.25">
      <c r="A36" s="185">
        <v>56</v>
      </c>
      <c r="B36" s="186"/>
      <c r="C36" s="186" t="s">
        <v>323</v>
      </c>
      <c r="D36" s="186">
        <v>0.27500000000000002</v>
      </c>
      <c r="E36" s="187"/>
      <c r="F36" s="187"/>
      <c r="G36" s="187"/>
      <c r="H36" s="187"/>
      <c r="I36" s="187"/>
      <c r="J36" s="187"/>
    </row>
    <row r="37" spans="1:10" s="188" customFormat="1" ht="17.25" customHeight="1" x14ac:dyDescent="0.25">
      <c r="A37" s="185">
        <v>82</v>
      </c>
      <c r="B37" s="186"/>
      <c r="C37" s="186" t="s">
        <v>324</v>
      </c>
      <c r="D37" s="186">
        <v>0.28000000000000003</v>
      </c>
      <c r="E37" s="187"/>
      <c r="F37" s="187"/>
      <c r="G37" s="187"/>
      <c r="H37" s="187"/>
      <c r="I37" s="187"/>
      <c r="J37" s="187"/>
    </row>
    <row r="38" spans="1:10" s="193" customFormat="1" ht="17.25" customHeight="1" x14ac:dyDescent="0.25">
      <c r="A38" s="206"/>
      <c r="B38" s="207"/>
      <c r="C38" s="204" t="s">
        <v>339</v>
      </c>
      <c r="D38" s="208">
        <f>SUM(D27:D37)</f>
        <v>2.3250000000000002</v>
      </c>
      <c r="E38" s="194"/>
      <c r="F38" s="194"/>
      <c r="G38" s="194"/>
      <c r="H38" s="194"/>
      <c r="I38" s="194"/>
      <c r="J38" s="194"/>
    </row>
    <row r="39" spans="1:10" ht="17.25" customHeight="1" x14ac:dyDescent="0.25">
      <c r="A39" s="183"/>
      <c r="B39" s="176"/>
      <c r="C39" s="209" t="s">
        <v>329</v>
      </c>
      <c r="D39" s="176">
        <f>D29+D32+D33+D34+D36+D37</f>
        <v>1.595</v>
      </c>
    </row>
    <row r="40" spans="1:10" ht="17.25" customHeight="1" x14ac:dyDescent="0.25">
      <c r="A40" s="183"/>
      <c r="B40" s="176"/>
      <c r="C40" s="209" t="s">
        <v>330</v>
      </c>
      <c r="D40" s="176">
        <f>D38-D39</f>
        <v>0.7300000000000002</v>
      </c>
    </row>
    <row r="41" spans="1:10" ht="17.25" customHeight="1" x14ac:dyDescent="0.25">
      <c r="A41" s="340" t="s">
        <v>325</v>
      </c>
      <c r="B41" s="340"/>
      <c r="C41" s="340"/>
      <c r="D41" s="340"/>
    </row>
    <row r="42" spans="1:10" ht="17.25" customHeight="1" x14ac:dyDescent="0.25">
      <c r="A42" s="183">
        <v>145</v>
      </c>
      <c r="B42" s="176"/>
      <c r="C42" s="176" t="s">
        <v>326</v>
      </c>
      <c r="D42" s="176">
        <v>2.6</v>
      </c>
    </row>
    <row r="43" spans="1:10" ht="17.25" customHeight="1" x14ac:dyDescent="0.25">
      <c r="A43" s="183">
        <v>128</v>
      </c>
      <c r="B43" s="176"/>
      <c r="C43" s="176" t="s">
        <v>327</v>
      </c>
      <c r="D43" s="176">
        <v>0.35</v>
      </c>
    </row>
    <row r="44" spans="1:10" s="193" customFormat="1" ht="17.25" customHeight="1" x14ac:dyDescent="0.25">
      <c r="C44" s="196" t="s">
        <v>339</v>
      </c>
      <c r="D44" s="197">
        <f>D42</f>
        <v>2.6</v>
      </c>
      <c r="E44" s="194"/>
      <c r="F44" s="194"/>
      <c r="G44" s="194"/>
      <c r="H44" s="194"/>
      <c r="I44" s="194"/>
      <c r="J44" s="194"/>
    </row>
    <row r="45" spans="1:10" s="193" customFormat="1" ht="17.25" customHeight="1" x14ac:dyDescent="0.3">
      <c r="C45" s="198" t="s">
        <v>340</v>
      </c>
      <c r="D45" s="193">
        <f>D25+D38+D44</f>
        <v>8.33</v>
      </c>
      <c r="E45" s="194"/>
      <c r="F45" s="194"/>
      <c r="G45" s="194"/>
      <c r="H45" s="194"/>
      <c r="I45" s="194"/>
      <c r="J45" s="194"/>
    </row>
  </sheetData>
  <mergeCells count="3">
    <mergeCell ref="A3:D3"/>
    <mergeCell ref="A26:D26"/>
    <mergeCell ref="A41:D41"/>
  </mergeCells>
  <pageMargins left="0.7" right="0.7" top="0.75" bottom="0.75" header="0.3" footer="0.3"/>
  <pageSetup paperSize="9" scale="97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opLeftCell="A4" workbookViewId="0">
      <selection activeCell="E9" sqref="E9"/>
    </sheetView>
  </sheetViews>
  <sheetFormatPr defaultRowHeight="15" outlineLevelRow="1" x14ac:dyDescent="0.25"/>
  <cols>
    <col min="1" max="1" width="6.5703125" style="158" customWidth="1"/>
    <col min="2" max="2" width="42.140625" style="158" customWidth="1"/>
    <col min="3" max="4" width="12.42578125" style="158" customWidth="1"/>
    <col min="5" max="7" width="17" style="158" customWidth="1"/>
    <col min="8" max="16384" width="9.140625" style="158"/>
  </cols>
  <sheetData>
    <row r="2" spans="1:7" ht="21.75" customHeight="1" x14ac:dyDescent="0.25">
      <c r="A2" s="338" t="s">
        <v>287</v>
      </c>
      <c r="B2" s="338"/>
      <c r="C2" s="338"/>
      <c r="D2" s="338"/>
      <c r="E2" s="338"/>
      <c r="F2" s="338"/>
      <c r="G2" s="338"/>
    </row>
    <row r="4" spans="1:7" x14ac:dyDescent="0.25">
      <c r="A4" s="332" t="s">
        <v>195</v>
      </c>
      <c r="B4" s="332" t="s">
        <v>136</v>
      </c>
      <c r="C4" s="332" t="s">
        <v>281</v>
      </c>
      <c r="D4" s="332"/>
      <c r="E4" s="332" t="s">
        <v>282</v>
      </c>
      <c r="F4" s="332"/>
      <c r="G4" s="332"/>
    </row>
    <row r="5" spans="1:7" ht="14.25" customHeight="1" x14ac:dyDescent="0.25">
      <c r="A5" s="332"/>
      <c r="B5" s="332"/>
      <c r="C5" s="272" t="s">
        <v>283</v>
      </c>
      <c r="D5" s="272" t="s">
        <v>108</v>
      </c>
      <c r="E5" s="272" t="s">
        <v>283</v>
      </c>
      <c r="F5" s="272" t="s">
        <v>284</v>
      </c>
      <c r="G5" s="272" t="s">
        <v>285</v>
      </c>
    </row>
    <row r="6" spans="1:7" ht="76.5" customHeight="1" x14ac:dyDescent="0.25">
      <c r="A6" s="166">
        <v>1</v>
      </c>
      <c r="B6" s="165" t="s">
        <v>286</v>
      </c>
      <c r="C6" s="168">
        <v>2606.8713400000001</v>
      </c>
      <c r="D6" s="168">
        <v>0</v>
      </c>
      <c r="E6" s="168">
        <v>2903.1590249999999</v>
      </c>
      <c r="F6" s="168">
        <v>1043.2014999999997</v>
      </c>
      <c r="G6" s="167">
        <v>100.3336</v>
      </c>
    </row>
    <row r="7" spans="1:7" x14ac:dyDescent="0.25">
      <c r="A7" s="166"/>
      <c r="B7" s="165" t="s">
        <v>288</v>
      </c>
      <c r="C7" s="168"/>
      <c r="D7" s="168"/>
      <c r="E7" s="168"/>
      <c r="F7" s="168"/>
      <c r="G7" s="167"/>
    </row>
    <row r="8" spans="1:7" ht="66" customHeight="1" x14ac:dyDescent="0.25">
      <c r="A8" s="166" t="s">
        <v>138</v>
      </c>
      <c r="B8" s="165" t="s">
        <v>279</v>
      </c>
      <c r="C8" s="167">
        <v>560.47829999999999</v>
      </c>
      <c r="D8" s="167">
        <v>0</v>
      </c>
      <c r="E8" s="167">
        <v>833.49789999999996</v>
      </c>
      <c r="F8" s="168">
        <v>0</v>
      </c>
      <c r="G8" s="168">
        <v>0</v>
      </c>
    </row>
    <row r="9" spans="1:7" ht="47.25" customHeight="1" x14ac:dyDescent="0.25">
      <c r="A9" s="166" t="s">
        <v>140</v>
      </c>
      <c r="B9" s="165" t="s">
        <v>280</v>
      </c>
      <c r="C9" s="168">
        <v>2046.3930399999999</v>
      </c>
      <c r="D9" s="168">
        <v>0</v>
      </c>
      <c r="E9" s="168">
        <v>2069.6611250000001</v>
      </c>
      <c r="F9" s="168">
        <v>1043.2014999999999</v>
      </c>
      <c r="G9" s="168">
        <v>100.3336</v>
      </c>
    </row>
    <row r="10" spans="1:7" ht="12.75" customHeight="1" x14ac:dyDescent="0.25">
      <c r="A10" s="166"/>
      <c r="B10" s="165"/>
      <c r="C10" s="168"/>
      <c r="D10" s="168"/>
      <c r="E10" s="168"/>
      <c r="F10" s="168"/>
      <c r="G10" s="168"/>
    </row>
    <row r="11" spans="1:7" ht="30" x14ac:dyDescent="0.25">
      <c r="A11" s="166" t="s">
        <v>146</v>
      </c>
      <c r="B11" s="169" t="s">
        <v>289</v>
      </c>
      <c r="C11" s="170">
        <v>2046.3930399999999</v>
      </c>
      <c r="D11" s="170">
        <v>0</v>
      </c>
      <c r="E11" s="170">
        <v>2069.6611250000001</v>
      </c>
      <c r="F11" s="170">
        <v>1043.2014999999997</v>
      </c>
      <c r="G11" s="171">
        <v>100.3336</v>
      </c>
    </row>
    <row r="12" spans="1:7" s="212" customFormat="1" x14ac:dyDescent="0.25">
      <c r="A12" s="210"/>
      <c r="B12" s="210"/>
      <c r="C12" s="210"/>
      <c r="D12" s="211">
        <v>2046.3930399999999</v>
      </c>
      <c r="E12" s="210"/>
      <c r="F12" s="210"/>
      <c r="G12" s="211">
        <v>3213.1962249999997</v>
      </c>
    </row>
    <row r="13" spans="1:7" s="216" customFormat="1" x14ac:dyDescent="0.25">
      <c r="A13" s="213"/>
      <c r="B13" s="214" t="s">
        <v>55</v>
      </c>
      <c r="C13" s="213"/>
      <c r="D13" s="213"/>
      <c r="E13" s="213"/>
      <c r="F13" s="213"/>
      <c r="G13" s="215">
        <v>5259.5892649999996</v>
      </c>
    </row>
    <row r="15" spans="1:7" hidden="1" outlineLevel="1" x14ac:dyDescent="0.25">
      <c r="A15" s="216"/>
      <c r="B15" s="216" t="s">
        <v>341</v>
      </c>
      <c r="C15" s="216"/>
      <c r="D15" s="216"/>
      <c r="E15" s="216"/>
      <c r="F15" s="216"/>
      <c r="G15" s="216"/>
    </row>
    <row r="16" spans="1:7" hidden="1" outlineLevel="1" x14ac:dyDescent="0.25">
      <c r="A16" s="216" t="s">
        <v>146</v>
      </c>
      <c r="B16" s="216" t="s">
        <v>289</v>
      </c>
      <c r="C16" s="216">
        <v>2333.2855717999996</v>
      </c>
      <c r="D16" s="216">
        <v>993.75430142500011</v>
      </c>
      <c r="E16" s="216">
        <v>2071.7001999999998</v>
      </c>
      <c r="F16" s="216">
        <v>1550.4940000000001</v>
      </c>
      <c r="G16" s="216">
        <v>100.3336</v>
      </c>
    </row>
    <row r="17" spans="1:8" hidden="1" outlineLevel="1" x14ac:dyDescent="0.25">
      <c r="A17" s="216"/>
      <c r="B17" s="216"/>
      <c r="C17" s="216"/>
      <c r="D17" s="216">
        <v>3327.0398732249996</v>
      </c>
      <c r="E17" s="216"/>
      <c r="F17" s="216"/>
      <c r="G17" s="216">
        <v>3722.5277999999998</v>
      </c>
    </row>
    <row r="18" spans="1:8" hidden="1" outlineLevel="1" x14ac:dyDescent="0.25">
      <c r="A18" s="216"/>
      <c r="B18" s="216" t="s">
        <v>55</v>
      </c>
      <c r="C18" s="216"/>
      <c r="D18" s="216"/>
      <c r="E18" s="216"/>
      <c r="F18" s="216"/>
      <c r="G18" s="216">
        <v>7049.5676732249995</v>
      </c>
      <c r="H18" s="217">
        <v>1789.9784082249998</v>
      </c>
    </row>
    <row r="19" spans="1:8" hidden="1" outlineLevel="1" x14ac:dyDescent="0.25">
      <c r="D19" s="218">
        <v>1280.6468332249997</v>
      </c>
      <c r="E19" s="219"/>
      <c r="F19" s="219"/>
      <c r="G19" s="218">
        <v>509.33157500000016</v>
      </c>
    </row>
    <row r="20" spans="1:8" hidden="1" outlineLevel="1" x14ac:dyDescent="0.25">
      <c r="D20" s="219"/>
      <c r="E20" s="219"/>
      <c r="F20" s="219"/>
      <c r="G20" s="218">
        <v>-1789.9784082249998</v>
      </c>
    </row>
    <row r="21" spans="1:8" collapsed="1" x14ac:dyDescent="0.25"/>
  </sheetData>
  <mergeCells count="5">
    <mergeCell ref="A2:G2"/>
    <mergeCell ref="A4:A5"/>
    <mergeCell ref="B4:B5"/>
    <mergeCell ref="C4:D4"/>
    <mergeCell ref="E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zoomScale="81" zoomScaleNormal="81" zoomScaleSheetLayoutView="82" workbookViewId="0">
      <pane xSplit="6" ySplit="22" topLeftCell="G41" activePane="bottomRight" state="frozen"/>
      <selection pane="topRight" activeCell="G1" sqref="G1"/>
      <selection pane="bottomLeft" activeCell="A23" sqref="A23"/>
      <selection pane="bottomRight" activeCell="H42" sqref="H42"/>
    </sheetView>
  </sheetViews>
  <sheetFormatPr defaultRowHeight="15" outlineLevelRow="1" x14ac:dyDescent="0.25"/>
  <cols>
    <col min="1" max="1" width="11.85546875" customWidth="1"/>
    <col min="2" max="2" width="12" customWidth="1"/>
    <col min="3" max="3" width="10" customWidth="1"/>
    <col min="4" max="4" width="14.140625" customWidth="1"/>
    <col min="5" max="5" width="15.7109375" customWidth="1"/>
    <col min="6" max="6" width="15.42578125" customWidth="1"/>
    <col min="7" max="7" width="16.28515625" customWidth="1"/>
    <col min="8" max="8" width="15.28515625" customWidth="1"/>
    <col min="9" max="9" width="14.140625" bestFit="1" customWidth="1"/>
    <col min="10" max="10" width="17.140625" customWidth="1"/>
    <col min="11" max="11" width="16.5703125" customWidth="1"/>
  </cols>
  <sheetData>
    <row r="1" spans="1:11" ht="40.5" customHeight="1" x14ac:dyDescent="0.25">
      <c r="A1" s="299" t="s">
        <v>265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x14ac:dyDescent="0.25">
      <c r="A2" s="26"/>
    </row>
    <row r="3" spans="1:11" ht="159" customHeight="1" x14ac:dyDescent="0.25">
      <c r="A3" s="28" t="s">
        <v>184</v>
      </c>
      <c r="B3" s="28" t="s">
        <v>185</v>
      </c>
      <c r="C3" s="28" t="s">
        <v>186</v>
      </c>
      <c r="D3" s="28" t="s">
        <v>187</v>
      </c>
      <c r="E3" s="28" t="s">
        <v>188</v>
      </c>
      <c r="F3" s="28" t="s">
        <v>189</v>
      </c>
      <c r="G3" s="28" t="s">
        <v>190</v>
      </c>
      <c r="H3" s="28" t="s">
        <v>191</v>
      </c>
      <c r="I3" s="28" t="s">
        <v>192</v>
      </c>
      <c r="J3" s="28" t="s">
        <v>193</v>
      </c>
      <c r="K3" s="28" t="s">
        <v>194</v>
      </c>
    </row>
    <row r="4" spans="1:11" x14ac:dyDescent="0.25">
      <c r="A4" s="106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9" t="s">
        <v>131</v>
      </c>
      <c r="I4" s="29" t="s">
        <v>132</v>
      </c>
      <c r="J4" s="28">
        <v>8</v>
      </c>
      <c r="K4" s="28">
        <v>9</v>
      </c>
    </row>
    <row r="5" spans="1:11" hidden="1" outlineLevel="1" x14ac:dyDescent="0.25">
      <c r="A5" s="300" t="s">
        <v>102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idden="1" outlineLevel="1" x14ac:dyDescent="0.25">
      <c r="A6" s="300">
        <v>0.4</v>
      </c>
      <c r="B6" s="30" t="s">
        <v>103</v>
      </c>
      <c r="C6" s="28" t="s">
        <v>104</v>
      </c>
      <c r="D6" s="28" t="s">
        <v>104</v>
      </c>
      <c r="E6" s="28" t="s">
        <v>105</v>
      </c>
      <c r="F6" s="28" t="s">
        <v>106</v>
      </c>
      <c r="G6" s="28" t="s">
        <v>107</v>
      </c>
      <c r="H6" s="28" t="s">
        <v>107</v>
      </c>
      <c r="I6" s="28"/>
      <c r="J6" s="28" t="s">
        <v>107</v>
      </c>
      <c r="K6" s="28">
        <v>44.55</v>
      </c>
    </row>
    <row r="7" spans="1:11" hidden="1" outlineLevel="1" x14ac:dyDescent="0.25">
      <c r="A7" s="300"/>
      <c r="B7" s="30" t="s">
        <v>108</v>
      </c>
      <c r="C7" s="28" t="s">
        <v>109</v>
      </c>
      <c r="D7" s="28" t="s">
        <v>109</v>
      </c>
      <c r="E7" s="28" t="s">
        <v>110</v>
      </c>
      <c r="F7" s="28" t="s">
        <v>110</v>
      </c>
      <c r="G7" s="28" t="s">
        <v>111</v>
      </c>
      <c r="H7" s="28" t="s">
        <v>111</v>
      </c>
      <c r="I7" s="28"/>
      <c r="J7" s="28" t="s">
        <v>111</v>
      </c>
      <c r="K7" s="28" t="s">
        <v>111</v>
      </c>
    </row>
    <row r="8" spans="1:11" hidden="1" outlineLevel="1" x14ac:dyDescent="0.25">
      <c r="A8" s="300"/>
      <c r="B8" s="30" t="s">
        <v>112</v>
      </c>
      <c r="C8" s="28" t="s">
        <v>113</v>
      </c>
      <c r="D8" s="28">
        <v>1</v>
      </c>
      <c r="E8" s="28" t="s">
        <v>114</v>
      </c>
      <c r="F8" s="28" t="s">
        <v>114</v>
      </c>
      <c r="G8" s="28">
        <v>35.259</v>
      </c>
      <c r="H8" s="28" t="s">
        <v>115</v>
      </c>
      <c r="I8" s="28"/>
      <c r="J8" s="28" t="s">
        <v>115</v>
      </c>
      <c r="K8" s="28" t="s">
        <v>115</v>
      </c>
    </row>
    <row r="9" spans="1:11" hidden="1" outlineLevel="1" x14ac:dyDescent="0.25">
      <c r="A9" s="300"/>
      <c r="B9" s="30" t="s">
        <v>116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hidden="1" outlineLevel="1" x14ac:dyDescent="0.25">
      <c r="A10" s="301" t="s">
        <v>134</v>
      </c>
      <c r="B10" s="30" t="s">
        <v>103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hidden="1" outlineLevel="1" x14ac:dyDescent="0.25">
      <c r="A11" s="301"/>
      <c r="B11" s="30" t="s">
        <v>108</v>
      </c>
      <c r="C11" s="31"/>
      <c r="D11" s="31"/>
      <c r="E11" s="31"/>
      <c r="F11" s="31"/>
      <c r="G11" s="31"/>
      <c r="H11" s="31"/>
      <c r="I11" s="30"/>
      <c r="J11" s="31"/>
      <c r="K11" s="31"/>
    </row>
    <row r="12" spans="1:11" hidden="1" outlineLevel="1" x14ac:dyDescent="0.25">
      <c r="A12" s="301"/>
      <c r="B12" s="30" t="s">
        <v>112</v>
      </c>
      <c r="C12" s="28">
        <v>1</v>
      </c>
      <c r="D12" s="28">
        <v>1</v>
      </c>
      <c r="E12" s="28">
        <v>400</v>
      </c>
      <c r="F12" s="28">
        <v>400</v>
      </c>
      <c r="G12" s="28">
        <v>19.742999999999999</v>
      </c>
      <c r="H12" s="28">
        <v>19.742999999999999</v>
      </c>
      <c r="I12" s="28">
        <v>300.72800000000001</v>
      </c>
      <c r="J12" s="28">
        <v>19.742999999999999</v>
      </c>
      <c r="K12" s="28">
        <v>19.742999999999999</v>
      </c>
    </row>
    <row r="13" spans="1:11" hidden="1" outlineLevel="1" x14ac:dyDescent="0.25">
      <c r="A13" s="301"/>
      <c r="B13" s="30" t="s">
        <v>116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idden="1" outlineLevel="1" collapsed="1" x14ac:dyDescent="0.25">
      <c r="A14" s="293" t="s">
        <v>117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 ht="24.75" hidden="1" customHeight="1" outlineLevel="1" x14ac:dyDescent="0.25">
      <c r="A15" s="294">
        <v>0.4</v>
      </c>
      <c r="B15" s="30" t="s">
        <v>103</v>
      </c>
      <c r="C15" s="27" t="s">
        <v>118</v>
      </c>
      <c r="D15" s="27" t="s">
        <v>119</v>
      </c>
      <c r="E15" s="27" t="s">
        <v>120</v>
      </c>
      <c r="F15" s="27" t="s">
        <v>120</v>
      </c>
      <c r="G15" s="27" t="s">
        <v>121</v>
      </c>
      <c r="H15" s="27">
        <v>24.24</v>
      </c>
      <c r="I15" s="27"/>
      <c r="J15" s="27" t="s">
        <v>121</v>
      </c>
      <c r="K15" s="27" t="s">
        <v>121</v>
      </c>
    </row>
    <row r="16" spans="1:11" ht="24.75" hidden="1" customHeight="1" outlineLevel="1" x14ac:dyDescent="0.25">
      <c r="A16" s="294"/>
      <c r="B16" s="30" t="s">
        <v>108</v>
      </c>
      <c r="C16" s="27" t="s">
        <v>122</v>
      </c>
      <c r="D16" s="27">
        <v>34</v>
      </c>
      <c r="E16" s="122">
        <v>1163</v>
      </c>
      <c r="F16" s="122" t="s">
        <v>123</v>
      </c>
      <c r="G16" s="27" t="s">
        <v>124</v>
      </c>
      <c r="H16" s="27" t="s">
        <v>124</v>
      </c>
      <c r="I16" s="27"/>
      <c r="J16" s="27" t="s">
        <v>124</v>
      </c>
      <c r="K16" s="27">
        <v>185</v>
      </c>
    </row>
    <row r="17" spans="1:11" ht="24.75" hidden="1" customHeight="1" outlineLevel="1" x14ac:dyDescent="0.25">
      <c r="A17" s="294"/>
      <c r="B17" s="30" t="s">
        <v>112</v>
      </c>
      <c r="C17" s="27">
        <v>7</v>
      </c>
      <c r="D17" s="27" t="s">
        <v>125</v>
      </c>
      <c r="E17" s="123">
        <v>2170</v>
      </c>
      <c r="F17" s="123">
        <v>2170</v>
      </c>
      <c r="G17" s="27" t="s">
        <v>126</v>
      </c>
      <c r="H17" s="27">
        <v>90.7</v>
      </c>
      <c r="I17" s="27"/>
      <c r="J17" s="27" t="s">
        <v>126</v>
      </c>
      <c r="K17" s="27" t="s">
        <v>126</v>
      </c>
    </row>
    <row r="18" spans="1:11" ht="24.75" hidden="1" customHeight="1" outlineLevel="1" x14ac:dyDescent="0.25">
      <c r="A18" s="294"/>
      <c r="B18" s="30" t="s">
        <v>116</v>
      </c>
      <c r="C18" s="28"/>
      <c r="D18" s="28"/>
      <c r="E18" s="28"/>
      <c r="F18" s="28"/>
      <c r="G18" s="28"/>
      <c r="H18" s="28"/>
      <c r="I18" s="28"/>
      <c r="J18" s="107"/>
      <c r="K18" s="28"/>
    </row>
    <row r="19" spans="1:11" ht="24.75" hidden="1" customHeight="1" outlineLevel="1" x14ac:dyDescent="0.25">
      <c r="A19" s="295" t="s">
        <v>134</v>
      </c>
      <c r="B19" s="30" t="s">
        <v>103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4.75" hidden="1" customHeight="1" outlineLevel="1" x14ac:dyDescent="0.25">
      <c r="A20" s="295"/>
      <c r="B20" s="30" t="s">
        <v>108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24.75" hidden="1" customHeight="1" outlineLevel="1" x14ac:dyDescent="0.25">
      <c r="A21" s="295"/>
      <c r="B21" s="30" t="s">
        <v>112</v>
      </c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24.75" hidden="1" customHeight="1" outlineLevel="1" x14ac:dyDescent="0.25">
      <c r="A22" s="295"/>
      <c r="B22" s="30" t="s">
        <v>116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collapsed="1" x14ac:dyDescent="0.25">
      <c r="A23" s="293" t="s">
        <v>127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11" ht="25.5" customHeight="1" x14ac:dyDescent="0.25">
      <c r="A24" s="294">
        <v>0.4</v>
      </c>
      <c r="B24" s="30" t="s">
        <v>103</v>
      </c>
      <c r="C24" s="27" t="s">
        <v>128</v>
      </c>
      <c r="D24" s="27">
        <v>48</v>
      </c>
      <c r="E24" s="27" t="s">
        <v>129</v>
      </c>
      <c r="F24" s="27">
        <v>672</v>
      </c>
      <c r="G24" s="27">
        <v>22.37</v>
      </c>
      <c r="H24" s="27">
        <v>22.37</v>
      </c>
      <c r="I24" s="33"/>
      <c r="J24" s="27">
        <v>22.37</v>
      </c>
      <c r="K24" s="27">
        <v>22.37</v>
      </c>
    </row>
    <row r="25" spans="1:11" ht="25.5" customHeight="1" x14ac:dyDescent="0.25">
      <c r="A25" s="294"/>
      <c r="B25" s="30" t="s">
        <v>108</v>
      </c>
      <c r="C25" s="27">
        <v>42</v>
      </c>
      <c r="D25" s="27" t="s">
        <v>130</v>
      </c>
      <c r="E25" s="27">
        <v>1352</v>
      </c>
      <c r="F25" s="27">
        <v>1352</v>
      </c>
      <c r="G25" s="27">
        <v>347.04</v>
      </c>
      <c r="H25" s="27">
        <v>347.04</v>
      </c>
      <c r="I25" s="33"/>
      <c r="J25" s="27">
        <v>347.04</v>
      </c>
      <c r="K25" s="27">
        <v>347.04</v>
      </c>
    </row>
    <row r="26" spans="1:11" ht="25.5" customHeight="1" x14ac:dyDescent="0.25">
      <c r="A26" s="294"/>
      <c r="B26" s="30" t="s">
        <v>112</v>
      </c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5.5" customHeight="1" x14ac:dyDescent="0.25">
      <c r="A27" s="294"/>
      <c r="B27" s="30" t="s">
        <v>116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5.5" customHeight="1" x14ac:dyDescent="0.25">
      <c r="A28" s="296" t="s">
        <v>134</v>
      </c>
      <c r="B28" s="30" t="s">
        <v>103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5.5" customHeight="1" x14ac:dyDescent="0.25">
      <c r="A29" s="297"/>
      <c r="B29" s="30" t="s">
        <v>108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25.5" customHeight="1" x14ac:dyDescent="0.25">
      <c r="A30" s="297"/>
      <c r="B30" s="30" t="s">
        <v>112</v>
      </c>
      <c r="C30" s="27">
        <v>1</v>
      </c>
      <c r="D30" s="27">
        <v>1</v>
      </c>
      <c r="E30" s="27">
        <v>250</v>
      </c>
      <c r="F30" s="27">
        <v>250</v>
      </c>
      <c r="G30" s="27">
        <v>7.05</v>
      </c>
      <c r="H30" s="27">
        <v>7.05</v>
      </c>
      <c r="I30" s="27"/>
      <c r="J30" s="27">
        <v>7.05</v>
      </c>
      <c r="K30" s="27">
        <v>7.05</v>
      </c>
    </row>
    <row r="31" spans="1:11" ht="25.5" customHeight="1" x14ac:dyDescent="0.25">
      <c r="A31" s="298"/>
      <c r="B31" s="30" t="s">
        <v>116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93" t="s">
        <v>133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</row>
    <row r="33" spans="1:13" ht="24" customHeight="1" x14ac:dyDescent="0.25">
      <c r="A33" s="294">
        <v>0.4</v>
      </c>
      <c r="B33" s="30" t="s">
        <v>103</v>
      </c>
      <c r="C33" s="27">
        <v>63</v>
      </c>
      <c r="D33" s="27">
        <v>63</v>
      </c>
      <c r="E33" s="27" t="s">
        <v>179</v>
      </c>
      <c r="F33" s="27">
        <v>945</v>
      </c>
      <c r="G33" s="34">
        <v>568.79999999999995</v>
      </c>
      <c r="H33" s="34">
        <v>29.36</v>
      </c>
      <c r="I33" s="34">
        <v>1208.31</v>
      </c>
      <c r="J33" s="27">
        <v>29.36</v>
      </c>
      <c r="K33" s="27">
        <v>29.36</v>
      </c>
      <c r="M33">
        <f>466.1*63/1000</f>
        <v>29.364300000000004</v>
      </c>
    </row>
    <row r="34" spans="1:13" ht="24" customHeight="1" x14ac:dyDescent="0.25">
      <c r="A34" s="294"/>
      <c r="B34" s="30" t="s">
        <v>108</v>
      </c>
      <c r="C34" s="27">
        <v>29</v>
      </c>
      <c r="D34" s="27">
        <v>29</v>
      </c>
      <c r="E34" s="27">
        <f>1010-65</f>
        <v>945</v>
      </c>
      <c r="F34" s="27">
        <f>E34</f>
        <v>945</v>
      </c>
      <c r="G34" s="97">
        <f>266.75*945/1000</f>
        <v>252.07875000000001</v>
      </c>
      <c r="H34" s="97">
        <f>G34</f>
        <v>252.07875000000001</v>
      </c>
      <c r="I34" s="97">
        <f>'Исходная инф'!F35/1000</f>
        <v>353.96728734999999</v>
      </c>
      <c r="J34" s="27">
        <v>429.07</v>
      </c>
      <c r="K34" s="27">
        <v>429.07</v>
      </c>
    </row>
    <row r="35" spans="1:13" ht="24" customHeight="1" x14ac:dyDescent="0.25">
      <c r="A35" s="294"/>
      <c r="B35" s="30" t="s">
        <v>112</v>
      </c>
      <c r="C35" s="27">
        <v>1</v>
      </c>
      <c r="D35" s="27">
        <v>1</v>
      </c>
      <c r="E35" s="27">
        <v>200</v>
      </c>
      <c r="F35" s="27">
        <v>200</v>
      </c>
      <c r="G35" s="34">
        <v>5.86</v>
      </c>
      <c r="H35" s="34">
        <v>5.86</v>
      </c>
      <c r="I35" s="34" t="s">
        <v>180</v>
      </c>
      <c r="J35" s="27">
        <v>5.86</v>
      </c>
      <c r="K35" s="27">
        <v>5.86</v>
      </c>
    </row>
    <row r="36" spans="1:13" ht="24" customHeight="1" x14ac:dyDescent="0.25">
      <c r="A36" s="294"/>
      <c r="B36" s="30" t="s">
        <v>116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3" ht="24" customHeight="1" x14ac:dyDescent="0.25">
      <c r="A37" s="295" t="s">
        <v>134</v>
      </c>
      <c r="B37" s="30" t="s">
        <v>103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3" ht="24" customHeight="1" x14ac:dyDescent="0.25">
      <c r="A38" s="295"/>
      <c r="B38" s="30" t="s">
        <v>108</v>
      </c>
      <c r="C38" s="34">
        <v>1</v>
      </c>
      <c r="D38" s="34">
        <v>1</v>
      </c>
      <c r="E38" s="34">
        <v>65</v>
      </c>
      <c r="F38" s="34">
        <v>65</v>
      </c>
      <c r="G38" s="97">
        <f>65*61.19/1000</f>
        <v>3.9773499999999999</v>
      </c>
      <c r="H38" s="97">
        <f>G38</f>
        <v>3.9773499999999999</v>
      </c>
      <c r="I38" s="97">
        <f>'Исходная инф'!F38/1000</f>
        <v>83.715259200000006</v>
      </c>
      <c r="J38" s="97">
        <f>83.72/2+3.98</f>
        <v>45.839999999999996</v>
      </c>
      <c r="K38" s="97">
        <f>83.72/2+3.98</f>
        <v>45.839999999999996</v>
      </c>
    </row>
    <row r="39" spans="1:13" ht="24" customHeight="1" x14ac:dyDescent="0.25">
      <c r="A39" s="295"/>
      <c r="B39" s="30" t="s">
        <v>112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3" ht="24" customHeight="1" x14ac:dyDescent="0.25">
      <c r="A40" s="295"/>
      <c r="B40" s="30" t="s">
        <v>116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1:13" ht="24" customHeight="1" x14ac:dyDescent="0.25">
      <c r="A41" s="293" t="s">
        <v>266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</row>
    <row r="42" spans="1:13" ht="24" customHeight="1" x14ac:dyDescent="0.25">
      <c r="A42" s="294">
        <v>0.4</v>
      </c>
      <c r="B42" s="30" t="s">
        <v>103</v>
      </c>
      <c r="C42" s="27">
        <v>72</v>
      </c>
      <c r="D42" s="27">
        <v>72</v>
      </c>
      <c r="E42" s="120">
        <f>15*D42</f>
        <v>1080</v>
      </c>
      <c r="F42" s="120">
        <f>E42</f>
        <v>1080</v>
      </c>
      <c r="G42" s="97">
        <f>F42*595.71/1000</f>
        <v>643.36680000000001</v>
      </c>
      <c r="H42" s="97">
        <f>466.1*D42/1000</f>
        <v>33.559200000000004</v>
      </c>
      <c r="I42" s="124">
        <f>(0.08+0.14+0.2+0.78+0.349+0.353+0.158)*798.09+(0.1+0.12+0.1+0.06+0.09+0.2+0.06+0.043+0.235)*751.7+0.275*803.38+0.06*848.46</f>
        <v>2673.6161000000006</v>
      </c>
      <c r="J42" s="119"/>
      <c r="K42" s="119"/>
      <c r="L42" s="126"/>
    </row>
    <row r="43" spans="1:13" ht="24" customHeight="1" x14ac:dyDescent="0.25">
      <c r="A43" s="294"/>
      <c r="B43" s="30" t="s">
        <v>108</v>
      </c>
      <c r="C43" s="27">
        <f>C44+C45</f>
        <v>19</v>
      </c>
      <c r="D43" s="27">
        <f>D44+D45</f>
        <v>19</v>
      </c>
      <c r="E43" s="120">
        <f>E44+E45</f>
        <v>1022.4</v>
      </c>
      <c r="F43" s="120">
        <f t="shared" ref="F43:F45" si="0">E43</f>
        <v>1022.4</v>
      </c>
      <c r="G43" s="97">
        <f>F43*264.04/1000</f>
        <v>269.95449600000006</v>
      </c>
      <c r="H43" s="97">
        <f>G43</f>
        <v>269.95449600000006</v>
      </c>
      <c r="I43" s="124">
        <f>(0.45+0.4)*1167.64+(0.1+0.085+0.06)*751.7+(0.24+0.125+0.085)*803.38+(0.19+0.28+0.275+0.28)*848.46</f>
        <v>2407.8530000000001</v>
      </c>
      <c r="J43" s="119"/>
      <c r="K43" s="119"/>
      <c r="L43" s="126"/>
    </row>
    <row r="44" spans="1:13" ht="28.5" customHeight="1" outlineLevel="1" x14ac:dyDescent="0.25">
      <c r="A44" s="294"/>
      <c r="B44" s="152" t="s">
        <v>267</v>
      </c>
      <c r="C44" s="153">
        <v>18</v>
      </c>
      <c r="D44" s="153">
        <v>18</v>
      </c>
      <c r="E44" s="154">
        <f>20+30+30+25+30+30+100+35+30+30+28+120+40+224.4+50+80+50+40</f>
        <v>992.4</v>
      </c>
      <c r="F44" s="154">
        <f t="shared" si="0"/>
        <v>992.4</v>
      </c>
      <c r="G44" s="155">
        <f>F44*264.04/1000</f>
        <v>262.03329600000001</v>
      </c>
      <c r="H44" s="155">
        <f t="shared" ref="H44:H46" si="1">G44</f>
        <v>262.03329600000001</v>
      </c>
      <c r="I44" s="156"/>
      <c r="J44" s="156"/>
      <c r="K44" s="156"/>
    </row>
    <row r="45" spans="1:13" ht="28.5" customHeight="1" outlineLevel="1" x14ac:dyDescent="0.25">
      <c r="A45" s="294"/>
      <c r="B45" s="152" t="s">
        <v>268</v>
      </c>
      <c r="C45" s="153">
        <v>1</v>
      </c>
      <c r="D45" s="153">
        <v>1</v>
      </c>
      <c r="E45" s="154">
        <v>30</v>
      </c>
      <c r="F45" s="154">
        <f t="shared" si="0"/>
        <v>30</v>
      </c>
      <c r="G45" s="155">
        <f>F45*264.04/1000</f>
        <v>7.9212000000000007</v>
      </c>
      <c r="H45" s="155">
        <f t="shared" si="1"/>
        <v>7.9212000000000007</v>
      </c>
      <c r="I45" s="156"/>
      <c r="J45" s="156"/>
      <c r="K45" s="156"/>
    </row>
    <row r="46" spans="1:13" ht="24" customHeight="1" x14ac:dyDescent="0.25">
      <c r="A46" s="294"/>
      <c r="B46" s="30" t="s">
        <v>112</v>
      </c>
      <c r="C46" s="27">
        <v>1</v>
      </c>
      <c r="D46" s="27">
        <v>1</v>
      </c>
      <c r="E46" s="120">
        <v>400</v>
      </c>
      <c r="F46" s="120">
        <f t="shared" ref="F46:F50" si="2">E46</f>
        <v>400</v>
      </c>
      <c r="G46" s="124">
        <f>F46*29.02/1000</f>
        <v>11.608000000000001</v>
      </c>
      <c r="H46" s="124">
        <f t="shared" si="1"/>
        <v>11.608000000000001</v>
      </c>
      <c r="I46" s="124"/>
      <c r="J46" s="122"/>
      <c r="K46" s="122"/>
    </row>
    <row r="47" spans="1:13" ht="24" customHeight="1" x14ac:dyDescent="0.25">
      <c r="A47" s="294"/>
      <c r="B47" s="30" t="s">
        <v>116</v>
      </c>
      <c r="C47" s="34"/>
      <c r="D47" s="27"/>
      <c r="E47" s="121"/>
      <c r="F47" s="120"/>
      <c r="G47" s="34"/>
      <c r="H47" s="34"/>
      <c r="I47" s="124"/>
      <c r="J47" s="34"/>
      <c r="K47" s="34"/>
    </row>
    <row r="48" spans="1:13" ht="24" customHeight="1" x14ac:dyDescent="0.25">
      <c r="A48" s="295" t="s">
        <v>134</v>
      </c>
      <c r="B48" s="30" t="s">
        <v>103</v>
      </c>
      <c r="C48" s="34"/>
      <c r="D48" s="27"/>
      <c r="E48" s="121"/>
      <c r="F48" s="120"/>
      <c r="G48" s="34"/>
      <c r="H48" s="34"/>
      <c r="I48" s="124"/>
      <c r="J48" s="34"/>
      <c r="K48" s="34"/>
    </row>
    <row r="49" spans="1:11" ht="28.5" customHeight="1" x14ac:dyDescent="0.25">
      <c r="A49" s="295"/>
      <c r="B49" s="30" t="s">
        <v>108</v>
      </c>
      <c r="C49" s="34"/>
      <c r="D49" s="27"/>
      <c r="E49" s="27"/>
      <c r="F49" s="120"/>
      <c r="G49" s="27"/>
      <c r="H49" s="27"/>
      <c r="I49" s="27"/>
      <c r="J49" s="27"/>
      <c r="K49" s="27"/>
    </row>
    <row r="50" spans="1:11" ht="30" customHeight="1" x14ac:dyDescent="0.25">
      <c r="A50" s="295"/>
      <c r="B50" s="30" t="s">
        <v>112</v>
      </c>
      <c r="C50" s="34">
        <v>1</v>
      </c>
      <c r="D50" s="34">
        <v>1</v>
      </c>
      <c r="E50" s="125">
        <v>600</v>
      </c>
      <c r="F50" s="120">
        <f t="shared" si="2"/>
        <v>600</v>
      </c>
      <c r="G50" s="124">
        <f>F50*60.57/1000</f>
        <v>36.341999999999999</v>
      </c>
      <c r="H50" s="124">
        <f>G50</f>
        <v>36.341999999999999</v>
      </c>
      <c r="I50" s="124"/>
      <c r="J50" s="124"/>
      <c r="K50" s="97"/>
    </row>
    <row r="51" spans="1:11" ht="22.5" customHeight="1" x14ac:dyDescent="0.25">
      <c r="A51" s="295"/>
      <c r="B51" s="30" t="s">
        <v>116</v>
      </c>
      <c r="C51" s="34"/>
      <c r="D51" s="34"/>
      <c r="E51" s="125"/>
      <c r="F51" s="125"/>
      <c r="G51" s="124"/>
      <c r="H51" s="124"/>
      <c r="I51" s="124"/>
      <c r="J51" s="124"/>
      <c r="K51" s="124"/>
    </row>
    <row r="52" spans="1:11" ht="22.5" customHeight="1" outlineLevel="1" x14ac:dyDescent="0.25">
      <c r="A52" s="116"/>
      <c r="B52" s="117"/>
      <c r="C52" s="118">
        <f>C42+C43+C46+C50</f>
        <v>93</v>
      </c>
      <c r="D52" s="118"/>
      <c r="E52" s="145"/>
      <c r="F52" s="145"/>
      <c r="G52" s="146"/>
      <c r="H52" s="146"/>
      <c r="I52" s="146"/>
      <c r="J52" s="146"/>
      <c r="K52" s="146"/>
    </row>
    <row r="53" spans="1:11" ht="22.5" customHeight="1" x14ac:dyDescent="0.25">
      <c r="A53" s="116"/>
      <c r="B53" s="117"/>
      <c r="C53" s="118"/>
      <c r="D53" s="118"/>
      <c r="E53" s="145"/>
      <c r="F53" s="145"/>
      <c r="G53" s="146"/>
      <c r="H53" s="146"/>
      <c r="I53" s="146"/>
      <c r="J53" s="146"/>
      <c r="K53" s="146"/>
    </row>
    <row r="54" spans="1:11" ht="22.5" customHeight="1" x14ac:dyDescent="0.25">
      <c r="A54" s="116"/>
      <c r="B54" s="117"/>
      <c r="C54" s="118"/>
      <c r="D54" s="118"/>
      <c r="E54" s="145"/>
      <c r="F54" s="145"/>
      <c r="G54" s="146"/>
      <c r="H54" s="146"/>
      <c r="I54" s="146"/>
      <c r="J54" s="146"/>
      <c r="K54" s="146"/>
    </row>
    <row r="55" spans="1:11" ht="22.5" customHeight="1" x14ac:dyDescent="0.25">
      <c r="A55" s="116"/>
      <c r="B55" s="117"/>
      <c r="C55" s="118"/>
      <c r="D55" s="118"/>
      <c r="E55" s="145"/>
      <c r="F55" s="145"/>
      <c r="G55" s="146"/>
      <c r="H55" s="146"/>
      <c r="I55" s="146"/>
      <c r="J55" s="146"/>
      <c r="K55" s="146"/>
    </row>
    <row r="56" spans="1:11" ht="18.75" x14ac:dyDescent="0.3">
      <c r="A56" s="88" t="str">
        <f>'Исходная инф'!A47</f>
        <v>Директор ООО "Трансэнерго"</v>
      </c>
      <c r="B56" s="89"/>
      <c r="C56" s="89"/>
      <c r="D56" s="89"/>
      <c r="E56" s="89"/>
      <c r="F56" s="89"/>
      <c r="G56" s="89"/>
      <c r="H56" s="89"/>
      <c r="I56" s="89"/>
      <c r="J56" s="89"/>
      <c r="K56" s="90" t="str">
        <f>'Исходная инф'!G47</f>
        <v>Самохин С.М.</v>
      </c>
    </row>
  </sheetData>
  <mergeCells count="16">
    <mergeCell ref="A41:K41"/>
    <mergeCell ref="A42:A47"/>
    <mergeCell ref="A48:A51"/>
    <mergeCell ref="A28:A31"/>
    <mergeCell ref="A1:K1"/>
    <mergeCell ref="A32:K32"/>
    <mergeCell ref="A37:A40"/>
    <mergeCell ref="A6:A9"/>
    <mergeCell ref="A15:A18"/>
    <mergeCell ref="A24:A27"/>
    <mergeCell ref="A33:A36"/>
    <mergeCell ref="A5:K5"/>
    <mergeCell ref="A10:A13"/>
    <mergeCell ref="A14:K14"/>
    <mergeCell ref="A19:A22"/>
    <mergeCell ref="A23:K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verticalDpi="0" r:id="rId1"/>
  <rowBreaks count="1" manualBreakCount="1">
    <brk id="3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19" zoomScale="60" zoomScaleNormal="58" workbookViewId="0">
      <selection activeCell="Q14" sqref="Q14"/>
    </sheetView>
  </sheetViews>
  <sheetFormatPr defaultColWidth="9.140625" defaultRowHeight="15.75" outlineLevelRow="1" outlineLevelCol="1" x14ac:dyDescent="0.25"/>
  <cols>
    <col min="1" max="1" width="6.85546875" style="87" customWidth="1"/>
    <col min="2" max="2" width="48" style="87" customWidth="1"/>
    <col min="3" max="3" width="15.85546875" style="87" customWidth="1"/>
    <col min="4" max="4" width="12.5703125" style="87" customWidth="1"/>
    <col min="5" max="5" width="21.85546875" style="87" customWidth="1"/>
    <col min="6" max="6" width="15.42578125" style="87" hidden="1" customWidth="1" outlineLevel="1"/>
    <col min="7" max="7" width="13" style="87" hidden="1" customWidth="1" outlineLevel="1"/>
    <col min="8" max="8" width="14.5703125" style="87" hidden="1" customWidth="1" outlineLevel="1"/>
    <col min="9" max="9" width="14.85546875" style="103" customWidth="1" collapsed="1"/>
    <col min="10" max="10" width="12.85546875" style="103" customWidth="1"/>
    <col min="11" max="11" width="15.42578125" style="103" bestFit="1" customWidth="1"/>
    <col min="12" max="12" width="9.140625" style="87"/>
    <col min="13" max="13" width="12.85546875" style="87" customWidth="1"/>
    <col min="14" max="14" width="9.140625" style="87"/>
    <col min="15" max="15" width="12.42578125" style="87" bestFit="1" customWidth="1"/>
    <col min="16" max="16384" width="9.140625" style="87"/>
  </cols>
  <sheetData>
    <row r="1" spans="1:16" x14ac:dyDescent="0.25">
      <c r="K1" s="159" t="s">
        <v>163</v>
      </c>
    </row>
    <row r="2" spans="1:16" ht="9" customHeight="1" x14ac:dyDescent="0.25">
      <c r="A2" s="91"/>
    </row>
    <row r="3" spans="1:16" ht="61.5" customHeight="1" x14ac:dyDescent="0.25">
      <c r="A3" s="302" t="s">
        <v>383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6" ht="23.25" customHeight="1" x14ac:dyDescent="0.25">
      <c r="A4" s="302" t="s">
        <v>271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6" ht="14.25" customHeight="1" x14ac:dyDescent="0.25">
      <c r="A5" s="94"/>
      <c r="B5" s="94"/>
      <c r="C5" s="94"/>
      <c r="D5" s="94"/>
      <c r="E5" s="94"/>
      <c r="F5" s="94"/>
      <c r="G5" s="94"/>
      <c r="H5" s="94"/>
      <c r="I5" s="104"/>
      <c r="J5" s="104"/>
      <c r="K5" s="104"/>
    </row>
    <row r="6" spans="1:16" ht="51" customHeight="1" x14ac:dyDescent="0.25">
      <c r="A6" s="304" t="s">
        <v>135</v>
      </c>
      <c r="B6" s="304" t="s">
        <v>136</v>
      </c>
      <c r="C6" s="305" t="s">
        <v>272</v>
      </c>
      <c r="D6" s="306"/>
      <c r="E6" s="307"/>
      <c r="F6" s="305" t="s">
        <v>384</v>
      </c>
      <c r="G6" s="306"/>
      <c r="H6" s="307"/>
      <c r="I6" s="308" t="s">
        <v>270</v>
      </c>
      <c r="J6" s="309"/>
      <c r="K6" s="310"/>
    </row>
    <row r="7" spans="1:16" ht="102" customHeight="1" x14ac:dyDescent="0.25">
      <c r="A7" s="304"/>
      <c r="B7" s="304"/>
      <c r="C7" s="254" t="s">
        <v>173</v>
      </c>
      <c r="D7" s="254" t="s">
        <v>174</v>
      </c>
      <c r="E7" s="254" t="s">
        <v>370</v>
      </c>
      <c r="F7" s="254" t="s">
        <v>175</v>
      </c>
      <c r="G7" s="254" t="s">
        <v>174</v>
      </c>
      <c r="H7" s="254" t="s">
        <v>176</v>
      </c>
      <c r="I7" s="147" t="s">
        <v>177</v>
      </c>
      <c r="J7" s="147" t="s">
        <v>174</v>
      </c>
      <c r="K7" s="147" t="s">
        <v>178</v>
      </c>
    </row>
    <row r="8" spans="1:16" x14ac:dyDescent="0.25">
      <c r="A8" s="254">
        <v>1</v>
      </c>
      <c r="B8" s="254">
        <v>2</v>
      </c>
      <c r="C8" s="254">
        <v>3</v>
      </c>
      <c r="D8" s="254">
        <v>4</v>
      </c>
      <c r="E8" s="254">
        <v>5</v>
      </c>
      <c r="F8" s="254">
        <v>6</v>
      </c>
      <c r="G8" s="254">
        <v>7</v>
      </c>
      <c r="H8" s="254">
        <v>8</v>
      </c>
      <c r="I8" s="147">
        <v>9</v>
      </c>
      <c r="J8" s="147">
        <v>10</v>
      </c>
      <c r="K8" s="147">
        <v>11</v>
      </c>
    </row>
    <row r="9" spans="1:16" ht="67.5" customHeight="1" x14ac:dyDescent="0.25">
      <c r="A9" s="93" t="s">
        <v>137</v>
      </c>
      <c r="B9" s="93" t="s">
        <v>167</v>
      </c>
      <c r="C9" s="252">
        <v>597.03857142857157</v>
      </c>
      <c r="D9" s="252">
        <v>1050</v>
      </c>
      <c r="E9" s="274">
        <v>626.89050000000009</v>
      </c>
      <c r="F9" s="252">
        <v>597.03857142857157</v>
      </c>
      <c r="G9" s="252">
        <v>1050</v>
      </c>
      <c r="H9" s="252">
        <v>626.89050000000009</v>
      </c>
      <c r="I9" s="274">
        <v>14130</v>
      </c>
      <c r="J9" s="274">
        <v>905</v>
      </c>
      <c r="K9" s="274">
        <v>852.51</v>
      </c>
      <c r="M9" s="225"/>
      <c r="N9" s="103"/>
      <c r="O9" s="103"/>
    </row>
    <row r="10" spans="1:16" ht="69" customHeight="1" x14ac:dyDescent="0.25">
      <c r="A10" s="93" t="s">
        <v>138</v>
      </c>
      <c r="B10" s="93" t="s">
        <v>139</v>
      </c>
      <c r="C10" s="274">
        <v>236.4862455125577</v>
      </c>
      <c r="D10" s="274">
        <v>1050</v>
      </c>
      <c r="E10" s="274">
        <v>248.31055778818558</v>
      </c>
      <c r="F10" s="252">
        <v>236.4862455125577</v>
      </c>
      <c r="G10" s="252">
        <v>1050</v>
      </c>
      <c r="H10" s="252">
        <v>248.3105577881856</v>
      </c>
      <c r="I10" s="274">
        <v>6760</v>
      </c>
      <c r="J10" s="274">
        <v>905</v>
      </c>
      <c r="K10" s="274">
        <v>407.85333333333335</v>
      </c>
      <c r="M10" s="225"/>
      <c r="N10" s="103"/>
      <c r="O10" s="103"/>
    </row>
    <row r="11" spans="1:16" ht="61.5" customHeight="1" x14ac:dyDescent="0.25">
      <c r="A11" s="93" t="s">
        <v>140</v>
      </c>
      <c r="B11" s="93" t="s">
        <v>141</v>
      </c>
      <c r="C11" s="274">
        <v>170.54951855768746</v>
      </c>
      <c r="D11" s="274">
        <v>1050</v>
      </c>
      <c r="E11" s="274">
        <v>179.07699448557184</v>
      </c>
      <c r="F11" s="252">
        <v>170.54951855768746</v>
      </c>
      <c r="G11" s="252">
        <v>1050</v>
      </c>
      <c r="H11" s="252">
        <v>179.07699448557184</v>
      </c>
      <c r="I11" s="274">
        <v>7370</v>
      </c>
      <c r="J11" s="274">
        <v>905</v>
      </c>
      <c r="K11" s="274">
        <v>444.65666666666669</v>
      </c>
      <c r="M11" s="225"/>
      <c r="N11" s="103"/>
      <c r="O11" s="103"/>
    </row>
    <row r="12" spans="1:16" ht="105.75" customHeight="1" x14ac:dyDescent="0.25">
      <c r="A12" s="93" t="s">
        <v>142</v>
      </c>
      <c r="B12" s="93" t="s">
        <v>143</v>
      </c>
      <c r="C12" s="274">
        <v>0</v>
      </c>
      <c r="D12" s="274">
        <v>1050</v>
      </c>
      <c r="E12" s="274">
        <v>0</v>
      </c>
      <c r="F12" s="252">
        <v>0</v>
      </c>
      <c r="G12" s="252">
        <v>1050</v>
      </c>
      <c r="H12" s="252">
        <v>0</v>
      </c>
      <c r="I12" s="274">
        <v>0</v>
      </c>
      <c r="J12" s="274">
        <v>0</v>
      </c>
      <c r="K12" s="274">
        <v>0</v>
      </c>
      <c r="M12" s="225"/>
      <c r="N12" s="103"/>
      <c r="O12" s="103"/>
    </row>
    <row r="13" spans="1:16" ht="129" customHeight="1" x14ac:dyDescent="0.25">
      <c r="A13" s="93" t="s">
        <v>144</v>
      </c>
      <c r="B13" s="93" t="s">
        <v>145</v>
      </c>
      <c r="C13" s="274">
        <v>190.00280735832632</v>
      </c>
      <c r="D13" s="274">
        <v>1050</v>
      </c>
      <c r="E13" s="274">
        <v>199.50294772624264</v>
      </c>
      <c r="F13" s="252">
        <v>190.00280735832632</v>
      </c>
      <c r="G13" s="252">
        <v>1050</v>
      </c>
      <c r="H13" s="252">
        <v>199.50294772624264</v>
      </c>
      <c r="I13" s="274">
        <v>0</v>
      </c>
      <c r="J13" s="274">
        <v>905</v>
      </c>
      <c r="K13" s="274">
        <v>0</v>
      </c>
      <c r="M13" s="225"/>
      <c r="N13" s="103"/>
      <c r="O13" s="273"/>
    </row>
    <row r="14" spans="1:16" ht="73.5" customHeight="1" x14ac:dyDescent="0.25">
      <c r="A14" s="93" t="s">
        <v>146</v>
      </c>
      <c r="B14" s="93" t="s">
        <v>168</v>
      </c>
      <c r="C14" s="252" t="s">
        <v>147</v>
      </c>
      <c r="D14" s="252" t="s">
        <v>147</v>
      </c>
      <c r="E14" s="274">
        <v>1995.4854400000004</v>
      </c>
      <c r="F14" s="252" t="s">
        <v>147</v>
      </c>
      <c r="G14" s="252" t="s">
        <v>147</v>
      </c>
      <c r="H14" s="252">
        <v>1995.4854400000004</v>
      </c>
      <c r="I14" s="274" t="s">
        <v>147</v>
      </c>
      <c r="J14" s="274" t="s">
        <v>147</v>
      </c>
      <c r="K14" s="274">
        <v>1727.0965250000002</v>
      </c>
      <c r="M14" s="225"/>
      <c r="N14" s="103"/>
      <c r="O14" s="103"/>
    </row>
    <row r="15" spans="1:16" ht="45.75" customHeight="1" x14ac:dyDescent="0.25">
      <c r="A15" s="93" t="s">
        <v>148</v>
      </c>
      <c r="B15" s="93" t="s">
        <v>149</v>
      </c>
      <c r="C15" s="252">
        <v>777967.03313840157</v>
      </c>
      <c r="D15" s="252">
        <v>2.5650000000000004</v>
      </c>
      <c r="E15" s="252">
        <v>1995.4854400000004</v>
      </c>
      <c r="F15" s="274">
        <v>777967.03313840157</v>
      </c>
      <c r="G15" s="252">
        <v>2.5650000000000004</v>
      </c>
      <c r="H15" s="252">
        <v>1995.4854400000004</v>
      </c>
      <c r="I15" s="274">
        <v>815630</v>
      </c>
      <c r="J15" s="274">
        <v>2.1175000000000002</v>
      </c>
      <c r="K15" s="274">
        <v>1727.0965250000002</v>
      </c>
      <c r="M15" s="225"/>
      <c r="N15" s="276"/>
      <c r="O15" s="103"/>
      <c r="P15" s="234"/>
    </row>
    <row r="16" spans="1:16" ht="49.5" customHeight="1" x14ac:dyDescent="0.25">
      <c r="A16" s="93" t="s">
        <v>150</v>
      </c>
      <c r="B16" s="93" t="s">
        <v>151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74">
        <v>0</v>
      </c>
      <c r="J16" s="274">
        <v>0</v>
      </c>
      <c r="K16" s="274">
        <v>0</v>
      </c>
      <c r="M16" s="225"/>
      <c r="N16" s="103"/>
      <c r="O16" s="103"/>
      <c r="P16" s="234"/>
    </row>
    <row r="17" spans="1:15" ht="49.5" customHeight="1" x14ac:dyDescent="0.25">
      <c r="A17" s="93" t="s">
        <v>152</v>
      </c>
      <c r="B17" s="93" t="s">
        <v>153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74">
        <v>0</v>
      </c>
      <c r="J17" s="274">
        <v>0</v>
      </c>
      <c r="K17" s="274">
        <v>0</v>
      </c>
      <c r="M17" s="225"/>
      <c r="N17" s="103"/>
      <c r="O17" s="103"/>
    </row>
    <row r="18" spans="1:15" ht="99.75" customHeight="1" x14ac:dyDescent="0.25">
      <c r="A18" s="93" t="s">
        <v>154</v>
      </c>
      <c r="B18" s="93" t="s">
        <v>155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74">
        <v>0</v>
      </c>
      <c r="J18" s="274">
        <v>0</v>
      </c>
      <c r="K18" s="274">
        <v>0</v>
      </c>
      <c r="M18" s="225"/>
      <c r="N18" s="103"/>
      <c r="O18" s="103"/>
    </row>
    <row r="19" spans="1:15" ht="72.75" customHeight="1" x14ac:dyDescent="0.25">
      <c r="A19" s="93" t="s">
        <v>156</v>
      </c>
      <c r="B19" s="93" t="s">
        <v>157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74">
        <v>0</v>
      </c>
      <c r="J19" s="274">
        <v>0</v>
      </c>
      <c r="K19" s="274">
        <v>0</v>
      </c>
      <c r="M19" s="225"/>
      <c r="N19" s="103"/>
      <c r="O19" s="103"/>
    </row>
    <row r="20" spans="1:15" ht="40.5" customHeight="1" x14ac:dyDescent="0.25">
      <c r="A20" s="93" t="s">
        <v>158</v>
      </c>
      <c r="B20" s="93" t="s">
        <v>169</v>
      </c>
      <c r="C20" s="252" t="s">
        <v>147</v>
      </c>
      <c r="D20" s="252" t="s">
        <v>147</v>
      </c>
      <c r="E20" s="252">
        <v>74.974750000000043</v>
      </c>
      <c r="F20" s="252" t="s">
        <v>147</v>
      </c>
      <c r="G20" s="252" t="s">
        <v>147</v>
      </c>
      <c r="H20" s="252">
        <v>74.974750000000043</v>
      </c>
      <c r="I20" s="274" t="s">
        <v>147</v>
      </c>
      <c r="J20" s="274" t="s">
        <v>147</v>
      </c>
      <c r="K20" s="274">
        <v>28.121366666666667</v>
      </c>
      <c r="M20" s="225"/>
      <c r="N20" s="103"/>
      <c r="O20" s="103"/>
    </row>
    <row r="21" spans="1:15" ht="40.5" customHeight="1" x14ac:dyDescent="0.25">
      <c r="A21" s="93" t="s">
        <v>159</v>
      </c>
      <c r="B21" s="93" t="s">
        <v>160</v>
      </c>
      <c r="C21" s="252" t="s">
        <v>147</v>
      </c>
      <c r="D21" s="252" t="s">
        <v>147</v>
      </c>
      <c r="E21" s="252">
        <v>1071.0678571428577</v>
      </c>
      <c r="F21" s="252" t="s">
        <v>147</v>
      </c>
      <c r="G21" s="252" t="s">
        <v>147</v>
      </c>
      <c r="H21" s="252">
        <v>1071.0678571428577</v>
      </c>
      <c r="I21" s="274" t="s">
        <v>147</v>
      </c>
      <c r="J21" s="274" t="s">
        <v>147</v>
      </c>
      <c r="K21" s="274">
        <v>466.1</v>
      </c>
      <c r="M21" s="225"/>
      <c r="N21" s="103"/>
      <c r="O21" s="103"/>
    </row>
    <row r="22" spans="1:15" ht="172.5" customHeight="1" x14ac:dyDescent="0.25">
      <c r="A22" s="93" t="s">
        <v>161</v>
      </c>
      <c r="B22" s="93" t="s">
        <v>170</v>
      </c>
      <c r="C22" s="252" t="s">
        <v>147</v>
      </c>
      <c r="D22" s="252" t="s">
        <v>147</v>
      </c>
      <c r="E22" s="277">
        <v>70</v>
      </c>
      <c r="F22" s="252" t="s">
        <v>147</v>
      </c>
      <c r="G22" s="252" t="s">
        <v>147</v>
      </c>
      <c r="H22" s="277">
        <v>70</v>
      </c>
      <c r="I22" s="274" t="s">
        <v>147</v>
      </c>
      <c r="J22" s="274" t="s">
        <v>147</v>
      </c>
      <c r="K22" s="275">
        <v>60.333333333333336</v>
      </c>
      <c r="M22" s="225"/>
      <c r="N22" s="103"/>
      <c r="O22" s="103"/>
    </row>
    <row r="23" spans="1:15" ht="97.5" customHeight="1" x14ac:dyDescent="0.25">
      <c r="A23" s="93" t="s">
        <v>162</v>
      </c>
      <c r="B23" s="93" t="s">
        <v>171</v>
      </c>
      <c r="C23" s="252" t="s">
        <v>147</v>
      </c>
      <c r="D23" s="252" t="s">
        <v>147</v>
      </c>
      <c r="E23" s="252">
        <v>2547.4011900000005</v>
      </c>
      <c r="F23" s="252" t="s">
        <v>147</v>
      </c>
      <c r="G23" s="252" t="s">
        <v>147</v>
      </c>
      <c r="H23" s="252">
        <v>2547.4011900000005</v>
      </c>
      <c r="I23" s="274" t="s">
        <v>147</v>
      </c>
      <c r="J23" s="274" t="s">
        <v>147</v>
      </c>
      <c r="K23" s="274">
        <v>2551.4851583333334</v>
      </c>
      <c r="M23" s="225"/>
      <c r="N23" s="103"/>
      <c r="O23" s="103"/>
    </row>
    <row r="24" spans="1:15" hidden="1" outlineLevel="1" x14ac:dyDescent="0.25"/>
    <row r="25" spans="1:15" hidden="1" outlineLevel="1" x14ac:dyDescent="0.25"/>
    <row r="26" spans="1:15" ht="18.75" hidden="1" outlineLevel="1" x14ac:dyDescent="0.3">
      <c r="A26" s="88" t="s">
        <v>165</v>
      </c>
      <c r="B26" s="88"/>
      <c r="C26" s="88"/>
      <c r="D26" s="88"/>
      <c r="E26" s="88"/>
      <c r="F26" s="88"/>
      <c r="G26" s="88"/>
      <c r="H26" s="88"/>
      <c r="I26" s="160"/>
      <c r="J26" s="303" t="s">
        <v>166</v>
      </c>
      <c r="K26" s="303"/>
    </row>
    <row r="27" spans="1:15" collapsed="1" x14ac:dyDescent="0.25">
      <c r="E27" s="144"/>
    </row>
    <row r="28" spans="1:15" x14ac:dyDescent="0.25">
      <c r="E28" s="144"/>
    </row>
    <row r="29" spans="1:15" x14ac:dyDescent="0.25">
      <c r="E29" s="271"/>
      <c r="K29" s="225"/>
    </row>
    <row r="30" spans="1:15" x14ac:dyDescent="0.25">
      <c r="E30" s="163"/>
      <c r="H30" s="144"/>
      <c r="K30" s="161"/>
    </row>
    <row r="31" spans="1:15" x14ac:dyDescent="0.25">
      <c r="E31" s="144"/>
    </row>
    <row r="33" spans="11:11" x14ac:dyDescent="0.25">
      <c r="K33" s="273"/>
    </row>
  </sheetData>
  <mergeCells count="8">
    <mergeCell ref="J26:K26"/>
    <mergeCell ref="A3:K3"/>
    <mergeCell ref="A4:K4"/>
    <mergeCell ref="A6:A7"/>
    <mergeCell ref="B6:B7"/>
    <mergeCell ref="C6:E6"/>
    <mergeCell ref="F6:H6"/>
    <mergeCell ref="I6:K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A16" zoomScale="60" zoomScaleNormal="71" workbookViewId="0">
      <selection activeCell="Q14" sqref="Q14"/>
    </sheetView>
  </sheetViews>
  <sheetFormatPr defaultColWidth="9.140625" defaultRowHeight="15.75" outlineLevelRow="1" outlineLevelCol="1" x14ac:dyDescent="0.25"/>
  <cols>
    <col min="1" max="1" width="6.85546875" style="87" customWidth="1"/>
    <col min="2" max="2" width="48" style="87" customWidth="1"/>
    <col min="3" max="3" width="14" style="87" customWidth="1"/>
    <col min="4" max="4" width="13.5703125" style="87" customWidth="1"/>
    <col min="5" max="5" width="13.42578125" style="87" customWidth="1"/>
    <col min="6" max="6" width="14.5703125" style="87" hidden="1" customWidth="1" outlineLevel="1"/>
    <col min="7" max="7" width="13" style="87" hidden="1" customWidth="1" outlineLevel="1"/>
    <col min="8" max="8" width="13.140625" style="87" hidden="1" customWidth="1" outlineLevel="1"/>
    <col min="9" max="9" width="16.85546875" style="103" customWidth="1" collapsed="1"/>
    <col min="10" max="10" width="13.140625" style="103" customWidth="1"/>
    <col min="11" max="11" width="13.28515625" style="103" customWidth="1"/>
    <col min="12" max="12" width="9.140625" style="87"/>
    <col min="13" max="13" width="13" style="87" customWidth="1"/>
    <col min="14" max="16384" width="9.140625" style="87"/>
  </cols>
  <sheetData>
    <row r="1" spans="1:13" x14ac:dyDescent="0.25">
      <c r="G1" s="311" t="s">
        <v>183</v>
      </c>
      <c r="H1" s="311"/>
      <c r="I1" s="311"/>
      <c r="J1" s="311"/>
      <c r="K1" s="311"/>
    </row>
    <row r="2" spans="1:13" ht="9" customHeight="1" x14ac:dyDescent="0.25">
      <c r="A2" s="91"/>
    </row>
    <row r="3" spans="1:13" ht="61.5" customHeight="1" x14ac:dyDescent="0.25">
      <c r="A3" s="302" t="s">
        <v>385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3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3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3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3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3" ht="145.5" customHeight="1" x14ac:dyDescent="0.25">
      <c r="A8" s="304"/>
      <c r="B8" s="304"/>
      <c r="C8" s="270" t="s">
        <v>173</v>
      </c>
      <c r="D8" s="270" t="s">
        <v>174</v>
      </c>
      <c r="E8" s="270" t="s">
        <v>172</v>
      </c>
      <c r="F8" s="270" t="s">
        <v>175</v>
      </c>
      <c r="G8" s="270" t="s">
        <v>174</v>
      </c>
      <c r="H8" s="270" t="s">
        <v>176</v>
      </c>
      <c r="I8" s="147" t="s">
        <v>177</v>
      </c>
      <c r="J8" s="147" t="s">
        <v>174</v>
      </c>
      <c r="K8" s="147" t="s">
        <v>178</v>
      </c>
    </row>
    <row r="9" spans="1:13" x14ac:dyDescent="0.25">
      <c r="A9" s="270">
        <v>1</v>
      </c>
      <c r="B9" s="270">
        <v>2</v>
      </c>
      <c r="C9" s="270">
        <v>3</v>
      </c>
      <c r="D9" s="270">
        <v>4</v>
      </c>
      <c r="E9" s="270">
        <v>5</v>
      </c>
      <c r="F9" s="270">
        <v>6</v>
      </c>
      <c r="G9" s="270">
        <v>7</v>
      </c>
      <c r="H9" s="270">
        <v>8</v>
      </c>
      <c r="I9" s="147">
        <v>9</v>
      </c>
      <c r="J9" s="147">
        <v>10</v>
      </c>
      <c r="K9" s="147">
        <v>11</v>
      </c>
    </row>
    <row r="10" spans="1:13" ht="80.25" customHeight="1" x14ac:dyDescent="0.25">
      <c r="A10" s="93" t="s">
        <v>137</v>
      </c>
      <c r="B10" s="93" t="s">
        <v>167</v>
      </c>
      <c r="C10" s="252">
        <v>265.6056598619723</v>
      </c>
      <c r="D10" s="252">
        <v>827.37</v>
      </c>
      <c r="E10" s="274">
        <v>219.75415480000004</v>
      </c>
      <c r="F10" s="252">
        <v>265.6056598619723</v>
      </c>
      <c r="G10" s="252">
        <v>827.37</v>
      </c>
      <c r="H10" s="252">
        <v>219.75415480000001</v>
      </c>
      <c r="I10" s="274">
        <v>14130</v>
      </c>
      <c r="J10" s="274">
        <v>1041.4566666666667</v>
      </c>
      <c r="K10" s="274">
        <v>423.9</v>
      </c>
      <c r="M10" s="163"/>
    </row>
    <row r="11" spans="1:13" ht="69" customHeight="1" x14ac:dyDescent="0.25">
      <c r="A11" s="93" t="s">
        <v>138</v>
      </c>
      <c r="B11" s="93" t="s">
        <v>139</v>
      </c>
      <c r="C11" s="274">
        <v>86.087457851036163</v>
      </c>
      <c r="D11" s="274">
        <v>827.37</v>
      </c>
      <c r="E11" s="274">
        <v>71.226180002211791</v>
      </c>
      <c r="F11" s="252">
        <v>86.087457851036163</v>
      </c>
      <c r="G11" s="252">
        <v>827.37</v>
      </c>
      <c r="H11" s="252">
        <v>71.226180002211791</v>
      </c>
      <c r="I11" s="274">
        <v>6760</v>
      </c>
      <c r="J11" s="274">
        <v>1041.4566666666667</v>
      </c>
      <c r="K11" s="274">
        <v>202.8</v>
      </c>
    </row>
    <row r="12" spans="1:13" ht="61.5" customHeight="1" x14ac:dyDescent="0.25">
      <c r="A12" s="93" t="s">
        <v>140</v>
      </c>
      <c r="B12" s="93" t="s">
        <v>141</v>
      </c>
      <c r="C12" s="274">
        <v>72.799127420886748</v>
      </c>
      <c r="D12" s="274">
        <v>827.37</v>
      </c>
      <c r="E12" s="274">
        <v>60.231814054219072</v>
      </c>
      <c r="F12" s="252">
        <v>72.799127420886748</v>
      </c>
      <c r="G12" s="252">
        <v>827.37</v>
      </c>
      <c r="H12" s="252">
        <v>60.231814054219065</v>
      </c>
      <c r="I12" s="274">
        <v>7370</v>
      </c>
      <c r="J12" s="274">
        <v>1041.4566666666667</v>
      </c>
      <c r="K12" s="274">
        <v>221.1</v>
      </c>
    </row>
    <row r="13" spans="1:13" ht="105.75" customHeight="1" x14ac:dyDescent="0.25">
      <c r="A13" s="93" t="s">
        <v>142</v>
      </c>
      <c r="B13" s="93" t="s">
        <v>143</v>
      </c>
      <c r="C13" s="274">
        <v>37.561412434654017</v>
      </c>
      <c r="D13" s="274">
        <v>827.37</v>
      </c>
      <c r="E13" s="274">
        <v>31.077185806059692</v>
      </c>
      <c r="F13" s="252">
        <v>37.561412434654017</v>
      </c>
      <c r="G13" s="252">
        <v>827.37</v>
      </c>
      <c r="H13" s="252">
        <v>31.077185806059692</v>
      </c>
      <c r="I13" s="274">
        <v>0</v>
      </c>
      <c r="J13" s="274">
        <v>1041.4566666666667</v>
      </c>
      <c r="K13" s="274">
        <v>0</v>
      </c>
    </row>
    <row r="14" spans="1:13" ht="116.25" customHeight="1" x14ac:dyDescent="0.25">
      <c r="A14" s="93" t="s">
        <v>144</v>
      </c>
      <c r="B14" s="93" t="s">
        <v>145</v>
      </c>
      <c r="C14" s="274">
        <v>69.167721451708914</v>
      </c>
      <c r="D14" s="274">
        <v>827.37</v>
      </c>
      <c r="E14" s="274">
        <v>57.227297697500397</v>
      </c>
      <c r="F14" s="252">
        <v>69.167721451708914</v>
      </c>
      <c r="G14" s="252">
        <v>827.37</v>
      </c>
      <c r="H14" s="252">
        <v>57.227297697500404</v>
      </c>
      <c r="I14" s="274">
        <v>0</v>
      </c>
      <c r="J14" s="274">
        <v>1041.4566666666667</v>
      </c>
      <c r="K14" s="274">
        <v>0</v>
      </c>
    </row>
    <row r="15" spans="1:13" ht="73.5" customHeight="1" x14ac:dyDescent="0.25">
      <c r="A15" s="93" t="s">
        <v>146</v>
      </c>
      <c r="B15" s="93" t="s">
        <v>168</v>
      </c>
      <c r="C15" s="252" t="s">
        <v>147</v>
      </c>
      <c r="D15" s="252" t="s">
        <v>147</v>
      </c>
      <c r="E15" s="274">
        <v>1040.3353028500001</v>
      </c>
      <c r="F15" s="252" t="s">
        <v>147</v>
      </c>
      <c r="G15" s="252" t="s">
        <v>147</v>
      </c>
      <c r="H15" s="252">
        <v>1040.3353028499998</v>
      </c>
      <c r="I15" s="274" t="s">
        <v>147</v>
      </c>
      <c r="J15" s="274" t="s">
        <v>147</v>
      </c>
      <c r="K15" s="274">
        <v>1043.2014999999999</v>
      </c>
    </row>
    <row r="16" spans="1:13" ht="49.5" customHeight="1" x14ac:dyDescent="0.25">
      <c r="A16" s="93" t="s">
        <v>148</v>
      </c>
      <c r="B16" s="93" t="s">
        <v>149</v>
      </c>
      <c r="C16" s="252">
        <v>652247.83877742942</v>
      </c>
      <c r="D16" s="252">
        <v>1.595</v>
      </c>
      <c r="E16" s="252">
        <v>1040.3353028500001</v>
      </c>
      <c r="F16" s="252">
        <v>652247.83877742942</v>
      </c>
      <c r="G16" s="252">
        <v>1.595</v>
      </c>
      <c r="H16" s="252">
        <v>1040.3353028499998</v>
      </c>
      <c r="I16" s="274">
        <v>1040600</v>
      </c>
      <c r="J16" s="274">
        <v>1.0024999999999999</v>
      </c>
      <c r="K16" s="274">
        <v>1043.2014999999999</v>
      </c>
      <c r="M16" s="199"/>
    </row>
    <row r="17" spans="1:14" ht="49.5" customHeight="1" x14ac:dyDescent="0.25">
      <c r="A17" s="93" t="s">
        <v>150</v>
      </c>
      <c r="B17" s="93" t="s">
        <v>151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74">
        <v>0</v>
      </c>
      <c r="J17" s="274">
        <v>0</v>
      </c>
      <c r="K17" s="274">
        <v>0</v>
      </c>
      <c r="M17" s="144"/>
    </row>
    <row r="18" spans="1:14" ht="49.5" customHeight="1" x14ac:dyDescent="0.25">
      <c r="A18" s="93" t="s">
        <v>152</v>
      </c>
      <c r="B18" s="93" t="s">
        <v>153</v>
      </c>
      <c r="C18" s="252">
        <v>0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74">
        <v>0</v>
      </c>
      <c r="J18" s="274">
        <v>0</v>
      </c>
      <c r="K18" s="274">
        <v>0</v>
      </c>
      <c r="N18" s="144"/>
    </row>
    <row r="19" spans="1:14" ht="99.75" customHeight="1" x14ac:dyDescent="0.25">
      <c r="A19" s="93" t="s">
        <v>154</v>
      </c>
      <c r="B19" s="93" t="s">
        <v>155</v>
      </c>
      <c r="C19" s="252">
        <v>0</v>
      </c>
      <c r="D19" s="252">
        <v>0</v>
      </c>
      <c r="E19" s="252">
        <v>0</v>
      </c>
      <c r="F19" s="252">
        <v>0</v>
      </c>
      <c r="G19" s="252">
        <v>0</v>
      </c>
      <c r="H19" s="252">
        <v>0</v>
      </c>
      <c r="I19" s="274">
        <v>0</v>
      </c>
      <c r="J19" s="274">
        <v>0</v>
      </c>
      <c r="K19" s="274">
        <v>0</v>
      </c>
    </row>
    <row r="20" spans="1:14" ht="72.75" customHeight="1" x14ac:dyDescent="0.25">
      <c r="A20" s="93" t="s">
        <v>156</v>
      </c>
      <c r="B20" s="93" t="s">
        <v>157</v>
      </c>
      <c r="C20" s="252">
        <v>0</v>
      </c>
      <c r="D20" s="252">
        <v>0</v>
      </c>
      <c r="E20" s="252">
        <v>0</v>
      </c>
      <c r="F20" s="252">
        <v>0</v>
      </c>
      <c r="G20" s="252">
        <v>0</v>
      </c>
      <c r="H20" s="252">
        <v>0</v>
      </c>
      <c r="I20" s="274">
        <v>0</v>
      </c>
      <c r="J20" s="274">
        <v>0</v>
      </c>
      <c r="K20" s="274">
        <v>0</v>
      </c>
    </row>
    <row r="21" spans="1:14" ht="62.25" customHeight="1" x14ac:dyDescent="0.25">
      <c r="A21" s="93" t="s">
        <v>158</v>
      </c>
      <c r="B21" s="93" t="s">
        <v>169</v>
      </c>
      <c r="C21" s="252" t="s">
        <v>147</v>
      </c>
      <c r="D21" s="252" t="s">
        <v>147</v>
      </c>
      <c r="E21" s="274">
        <v>1260.0894576500002</v>
      </c>
      <c r="F21" s="252" t="s">
        <v>147</v>
      </c>
      <c r="G21" s="252" t="s">
        <v>147</v>
      </c>
      <c r="H21" s="252">
        <v>1260.0894576500002</v>
      </c>
      <c r="I21" s="274" t="s">
        <v>147</v>
      </c>
      <c r="J21" s="274" t="s">
        <v>147</v>
      </c>
      <c r="K21" s="274">
        <v>423.9</v>
      </c>
    </row>
    <row r="22" spans="1:14" ht="40.5" customHeight="1" x14ac:dyDescent="0.25">
      <c r="A22" s="93" t="s">
        <v>159</v>
      </c>
      <c r="B22" s="93" t="s">
        <v>160</v>
      </c>
      <c r="C22" s="252" t="s">
        <v>147</v>
      </c>
      <c r="D22" s="252" t="s">
        <v>147</v>
      </c>
      <c r="E22" s="274">
        <v>16904.165753846159</v>
      </c>
      <c r="F22" s="274" t="s">
        <v>147</v>
      </c>
      <c r="G22" s="274" t="s">
        <v>147</v>
      </c>
      <c r="H22" s="274">
        <v>16904.165753846159</v>
      </c>
      <c r="I22" s="274" t="s">
        <v>147</v>
      </c>
      <c r="J22" s="274" t="s">
        <v>147</v>
      </c>
      <c r="K22" s="274">
        <v>14130</v>
      </c>
      <c r="L22" s="144"/>
    </row>
    <row r="23" spans="1:14" ht="168.75" customHeight="1" x14ac:dyDescent="0.25">
      <c r="A23" s="93" t="s">
        <v>161</v>
      </c>
      <c r="B23" s="93" t="s">
        <v>170</v>
      </c>
      <c r="C23" s="252" t="s">
        <v>147</v>
      </c>
      <c r="D23" s="252" t="s">
        <v>147</v>
      </c>
      <c r="E23" s="277">
        <v>19</v>
      </c>
      <c r="F23" s="252" t="s">
        <v>147</v>
      </c>
      <c r="G23" s="252" t="s">
        <v>147</v>
      </c>
      <c r="H23" s="277">
        <v>19</v>
      </c>
      <c r="I23" s="274" t="s">
        <v>147</v>
      </c>
      <c r="J23" s="274" t="s">
        <v>147</v>
      </c>
      <c r="K23" s="275">
        <v>30</v>
      </c>
    </row>
    <row r="24" spans="1:14" ht="98.25" customHeight="1" x14ac:dyDescent="0.25">
      <c r="A24" s="93" t="s">
        <v>162</v>
      </c>
      <c r="B24" s="93" t="s">
        <v>171</v>
      </c>
      <c r="C24" s="252" t="s">
        <v>147</v>
      </c>
      <c r="D24" s="252" t="s">
        <v>147</v>
      </c>
      <c r="E24" s="252">
        <v>0</v>
      </c>
      <c r="F24" s="252" t="s">
        <v>147</v>
      </c>
      <c r="G24" s="252" t="s">
        <v>147</v>
      </c>
      <c r="H24" s="252">
        <v>0</v>
      </c>
      <c r="I24" s="274" t="s">
        <v>147</v>
      </c>
      <c r="J24" s="274" t="s">
        <v>147</v>
      </c>
      <c r="K24" s="274">
        <v>1043.2014999999997</v>
      </c>
    </row>
    <row r="25" spans="1:14" hidden="1" outlineLevel="1" x14ac:dyDescent="0.25"/>
    <row r="26" spans="1:14" hidden="1" outlineLevel="1" x14ac:dyDescent="0.25"/>
    <row r="27" spans="1:14" hidden="1" outlineLevel="1" x14ac:dyDescent="0.25"/>
    <row r="28" spans="1:14" hidden="1" outlineLevel="1" x14ac:dyDescent="0.25"/>
    <row r="29" spans="1:14" ht="18.75" hidden="1" outlineLevel="1" x14ac:dyDescent="0.3">
      <c r="A29" s="88" t="s">
        <v>165</v>
      </c>
      <c r="B29" s="88"/>
      <c r="C29" s="88"/>
      <c r="D29" s="88"/>
      <c r="E29" s="88"/>
      <c r="F29" s="88"/>
      <c r="G29" s="88"/>
      <c r="H29" s="88"/>
      <c r="I29" s="160"/>
      <c r="J29" s="303" t="s">
        <v>166</v>
      </c>
      <c r="K29" s="303"/>
    </row>
    <row r="30" spans="1:14" collapsed="1" x14ac:dyDescent="0.25">
      <c r="F30" s="163"/>
    </row>
    <row r="31" spans="1:14" x14ac:dyDescent="0.25">
      <c r="F31" s="144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verticalDpi="0" r:id="rId1"/>
  <rowBreaks count="1" manualBreakCount="1">
    <brk id="1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31"/>
  <sheetViews>
    <sheetView topLeftCell="A19" zoomScale="71" zoomScaleNormal="71" zoomScaleSheetLayoutView="77" workbookViewId="0">
      <selection activeCell="J15" sqref="J15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1.85546875" style="87" customWidth="1"/>
    <col min="5" max="5" width="21.85546875" style="87" customWidth="1"/>
    <col min="6" max="7" width="13" style="87" customWidth="1"/>
    <col min="8" max="8" width="14.5703125" style="87" customWidth="1"/>
    <col min="9" max="9" width="12.28515625" style="103" customWidth="1"/>
    <col min="10" max="10" width="12.85546875" style="103" customWidth="1"/>
    <col min="11" max="11" width="15.42578125" style="103" bestFit="1" customWidth="1"/>
    <col min="12" max="16384" width="9.140625" style="87"/>
  </cols>
  <sheetData>
    <row r="1" spans="1:16" x14ac:dyDescent="0.25">
      <c r="K1" s="159" t="s">
        <v>163</v>
      </c>
    </row>
    <row r="2" spans="1:16" ht="9" customHeight="1" x14ac:dyDescent="0.25">
      <c r="A2" s="91"/>
    </row>
    <row r="3" spans="1:16" ht="61.5" customHeight="1" x14ac:dyDescent="0.25">
      <c r="A3" s="302" t="s">
        <v>277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6" ht="23.25" customHeight="1" x14ac:dyDescent="0.25">
      <c r="A4" s="302" t="s">
        <v>271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6" ht="14.25" customHeight="1" x14ac:dyDescent="0.25">
      <c r="A5" s="94"/>
      <c r="B5" s="94"/>
      <c r="C5" s="94"/>
      <c r="D5" s="94"/>
      <c r="E5" s="94"/>
      <c r="F5" s="94"/>
      <c r="G5" s="94"/>
      <c r="H5" s="94"/>
      <c r="I5" s="104"/>
      <c r="J5" s="104"/>
      <c r="K5" s="104"/>
    </row>
    <row r="6" spans="1:16" ht="51" customHeight="1" x14ac:dyDescent="0.25">
      <c r="A6" s="304" t="s">
        <v>135</v>
      </c>
      <c r="B6" s="304" t="s">
        <v>136</v>
      </c>
      <c r="C6" s="305" t="s">
        <v>272</v>
      </c>
      <c r="D6" s="306"/>
      <c r="E6" s="307"/>
      <c r="F6" s="305" t="s">
        <v>273</v>
      </c>
      <c r="G6" s="306"/>
      <c r="H6" s="307"/>
      <c r="I6" s="308" t="s">
        <v>270</v>
      </c>
      <c r="J6" s="309"/>
      <c r="K6" s="310"/>
    </row>
    <row r="7" spans="1:16" ht="102" customHeight="1" x14ac:dyDescent="0.25">
      <c r="A7" s="304"/>
      <c r="B7" s="304"/>
      <c r="C7" s="92" t="s">
        <v>173</v>
      </c>
      <c r="D7" s="92" t="s">
        <v>174</v>
      </c>
      <c r="E7" s="92" t="s">
        <v>370</v>
      </c>
      <c r="F7" s="92" t="s">
        <v>175</v>
      </c>
      <c r="G7" s="92" t="s">
        <v>174</v>
      </c>
      <c r="H7" s="92" t="s">
        <v>176</v>
      </c>
      <c r="I7" s="147" t="s">
        <v>177</v>
      </c>
      <c r="J7" s="147" t="s">
        <v>174</v>
      </c>
      <c r="K7" s="147" t="s">
        <v>178</v>
      </c>
    </row>
    <row r="8" spans="1:16" x14ac:dyDescent="0.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147">
        <v>9</v>
      </c>
      <c r="J8" s="147">
        <v>10</v>
      </c>
      <c r="K8" s="147">
        <v>11</v>
      </c>
    </row>
    <row r="9" spans="1:16" ht="67.5" customHeight="1" x14ac:dyDescent="0.25">
      <c r="A9" s="93" t="s">
        <v>137</v>
      </c>
      <c r="B9" s="93" t="s">
        <v>167</v>
      </c>
      <c r="C9" s="95" t="e">
        <f>E9/D9*1000</f>
        <v>#REF!</v>
      </c>
      <c r="D9" s="95" t="e">
        <f>#REF!</f>
        <v>#REF!</v>
      </c>
      <c r="E9" s="101" t="e">
        <f>(#REF!+#REF!)/1000</f>
        <v>#REF!</v>
      </c>
      <c r="F9" s="95" t="e">
        <f>C9</f>
        <v>#REF!</v>
      </c>
      <c r="G9" s="95" t="e">
        <f>D9</f>
        <v>#REF!</v>
      </c>
      <c r="H9" s="95" t="e">
        <f>F9*G9/1000</f>
        <v>#REF!</v>
      </c>
      <c r="I9" s="99" t="e">
        <f>#REF!</f>
        <v>#REF!</v>
      </c>
      <c r="J9" s="143" t="e">
        <f>#REF!</f>
        <v>#REF!</v>
      </c>
      <c r="K9" s="101" t="e">
        <f>I9*$K$22/1000</f>
        <v>#REF!</v>
      </c>
    </row>
    <row r="10" spans="1:16" ht="69" customHeight="1" x14ac:dyDescent="0.25">
      <c r="A10" s="93" t="s">
        <v>138</v>
      </c>
      <c r="B10" s="93" t="s">
        <v>139</v>
      </c>
      <c r="C10" s="95" t="e">
        <f t="shared" ref="C10:C13" si="0">E10/D10*1000</f>
        <v>#REF!</v>
      </c>
      <c r="D10" s="95" t="e">
        <f>D9</f>
        <v>#REF!</v>
      </c>
      <c r="E10" s="96" t="e">
        <f>(#REF!+#REF!)/1000</f>
        <v>#REF!</v>
      </c>
      <c r="F10" s="95" t="e">
        <f t="shared" ref="F10:F13" si="1">C10</f>
        <v>#REF!</v>
      </c>
      <c r="G10" s="95" t="e">
        <f t="shared" ref="G10:G13" si="2">D10</f>
        <v>#REF!</v>
      </c>
      <c r="H10" s="95" t="e">
        <f t="shared" ref="H10:H12" si="3">F10*G10/1000</f>
        <v>#REF!</v>
      </c>
      <c r="I10" s="99" t="e">
        <f>#REF!</f>
        <v>#REF!</v>
      </c>
      <c r="J10" s="143" t="e">
        <f>J9</f>
        <v>#REF!</v>
      </c>
      <c r="K10" s="101" t="e">
        <f>I10*$K$22/1000</f>
        <v>#REF!</v>
      </c>
    </row>
    <row r="11" spans="1:16" ht="61.5" customHeight="1" x14ac:dyDescent="0.25">
      <c r="A11" s="93" t="s">
        <v>140</v>
      </c>
      <c r="B11" s="93" t="s">
        <v>141</v>
      </c>
      <c r="C11" s="95" t="e">
        <f t="shared" si="0"/>
        <v>#REF!</v>
      </c>
      <c r="D11" s="95" t="e">
        <f t="shared" ref="D11:D13" si="4">D10</f>
        <v>#REF!</v>
      </c>
      <c r="E11" s="96" t="e">
        <f>(#REF!+#REF!)/1000</f>
        <v>#REF!</v>
      </c>
      <c r="F11" s="95" t="e">
        <f t="shared" si="1"/>
        <v>#REF!</v>
      </c>
      <c r="G11" s="95" t="e">
        <f t="shared" si="2"/>
        <v>#REF!</v>
      </c>
      <c r="H11" s="95" t="e">
        <f t="shared" si="3"/>
        <v>#REF!</v>
      </c>
      <c r="I11" s="99" t="e">
        <f>#REF!</f>
        <v>#REF!</v>
      </c>
      <c r="J11" s="143" t="e">
        <f>J9</f>
        <v>#REF!</v>
      </c>
      <c r="K11" s="101" t="e">
        <f t="shared" ref="K11" si="5">I11*$K$22/1000</f>
        <v>#REF!</v>
      </c>
    </row>
    <row r="12" spans="1:16" ht="105.75" customHeight="1" x14ac:dyDescent="0.25">
      <c r="A12" s="93" t="s">
        <v>142</v>
      </c>
      <c r="B12" s="93" t="s">
        <v>143</v>
      </c>
      <c r="C12" s="95" t="e">
        <f t="shared" si="0"/>
        <v>#REF!</v>
      </c>
      <c r="D12" s="95" t="e">
        <f t="shared" si="4"/>
        <v>#REF!</v>
      </c>
      <c r="E12" s="96" t="e">
        <f>(#REF!+#REF!)/1000</f>
        <v>#REF!</v>
      </c>
      <c r="F12" s="95" t="e">
        <f>C12</f>
        <v>#REF!</v>
      </c>
      <c r="G12" s="95" t="e">
        <f t="shared" si="2"/>
        <v>#REF!</v>
      </c>
      <c r="H12" s="95" t="e">
        <f t="shared" si="3"/>
        <v>#REF!</v>
      </c>
      <c r="I12" s="101" t="e">
        <f t="shared" ref="I12" si="6">C12</f>
        <v>#REF!</v>
      </c>
      <c r="J12" s="101">
        <v>0</v>
      </c>
      <c r="K12" s="101">
        <v>0</v>
      </c>
    </row>
    <row r="13" spans="1:16" ht="129" customHeight="1" x14ac:dyDescent="0.25">
      <c r="A13" s="93" t="s">
        <v>144</v>
      </c>
      <c r="B13" s="93" t="s">
        <v>145</v>
      </c>
      <c r="C13" s="95" t="e">
        <f t="shared" si="0"/>
        <v>#REF!</v>
      </c>
      <c r="D13" s="95" t="e">
        <f t="shared" si="4"/>
        <v>#REF!</v>
      </c>
      <c r="E13" s="96" t="e">
        <f>(#REF!+#REF!)/1000</f>
        <v>#REF!</v>
      </c>
      <c r="F13" s="95" t="e">
        <f t="shared" si="1"/>
        <v>#REF!</v>
      </c>
      <c r="G13" s="95" t="e">
        <f t="shared" si="2"/>
        <v>#REF!</v>
      </c>
      <c r="H13" s="95" t="e">
        <f>F13*G13/1000</f>
        <v>#REF!</v>
      </c>
      <c r="I13" s="101">
        <v>0</v>
      </c>
      <c r="J13" s="143" t="e">
        <f>J9</f>
        <v>#REF!</v>
      </c>
      <c r="K13" s="101" t="e">
        <f t="shared" ref="K13" si="7">I13*J13/1000</f>
        <v>#REF!</v>
      </c>
    </row>
    <row r="14" spans="1:16" ht="73.5" customHeight="1" x14ac:dyDescent="0.25">
      <c r="A14" s="93" t="s">
        <v>146</v>
      </c>
      <c r="B14" s="93" t="s">
        <v>168</v>
      </c>
      <c r="C14" s="92" t="s">
        <v>147</v>
      </c>
      <c r="D14" s="92" t="s">
        <v>147</v>
      </c>
      <c r="E14" s="99" t="e">
        <f>E15</f>
        <v>#REF!</v>
      </c>
      <c r="F14" s="92" t="s">
        <v>147</v>
      </c>
      <c r="G14" s="92" t="s">
        <v>147</v>
      </c>
      <c r="H14" s="96" t="e">
        <f>H15</f>
        <v>#REF!</v>
      </c>
      <c r="I14" s="147" t="s">
        <v>147</v>
      </c>
      <c r="J14" s="147" t="s">
        <v>147</v>
      </c>
      <c r="K14" s="99" t="e">
        <f>K15+K16</f>
        <v>#REF!</v>
      </c>
    </row>
    <row r="15" spans="1:16" ht="45.75" customHeight="1" x14ac:dyDescent="0.25">
      <c r="A15" s="93" t="s">
        <v>148</v>
      </c>
      <c r="B15" s="93" t="s">
        <v>149</v>
      </c>
      <c r="C15" s="96" t="e">
        <f>E15/D15*1000</f>
        <v>#REF!</v>
      </c>
      <c r="D15" s="162" t="e">
        <f>#REF!</f>
        <v>#REF!</v>
      </c>
      <c r="E15" s="96" t="e">
        <f>#REF!</f>
        <v>#REF!</v>
      </c>
      <c r="F15" s="99" t="e">
        <f>C15</f>
        <v>#REF!</v>
      </c>
      <c r="G15" s="249" t="e">
        <f>D15</f>
        <v>#REF!</v>
      </c>
      <c r="H15" s="96" t="e">
        <f>F15*G15/1000</f>
        <v>#REF!</v>
      </c>
      <c r="I15" s="129" t="e">
        <f>#REF!</f>
        <v>#REF!</v>
      </c>
      <c r="J15" s="250" t="e">
        <f>#REF!</f>
        <v>#REF!</v>
      </c>
      <c r="K15" s="99" t="e">
        <f>I15*J15/1000</f>
        <v>#REF!</v>
      </c>
      <c r="M15" s="163" t="e">
        <f>E15+'П1 0,4кв льготн+стр-во(Шмонин)'!E15+'П1 0,4кВт повторное'!E15</f>
        <v>#REF!</v>
      </c>
      <c r="N15" s="234" t="e">
        <f>M15-#REF!/1000</f>
        <v>#REF!</v>
      </c>
      <c r="P15" s="234" t="e">
        <f>D15+'П1 0,4кв льготн+стр-во(Шмонин)'!D15+'П1 0,4кВт повторное'!D15</f>
        <v>#REF!</v>
      </c>
    </row>
    <row r="16" spans="1:16" ht="49.5" customHeight="1" x14ac:dyDescent="0.25">
      <c r="A16" s="93" t="s">
        <v>150</v>
      </c>
      <c r="B16" s="93" t="s">
        <v>151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129">
        <v>0</v>
      </c>
      <c r="J16" s="147">
        <v>0</v>
      </c>
      <c r="K16" s="101">
        <f>I16*J16/1000</f>
        <v>0</v>
      </c>
      <c r="M16" s="221"/>
      <c r="P16" s="234" t="e">
        <f>P15-#REF!</f>
        <v>#REF!</v>
      </c>
    </row>
    <row r="17" spans="1:13" ht="49.5" customHeight="1" x14ac:dyDescent="0.25">
      <c r="A17" s="93" t="s">
        <v>152</v>
      </c>
      <c r="B17" s="93" t="s">
        <v>153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147">
        <v>0</v>
      </c>
      <c r="J17" s="147">
        <v>0</v>
      </c>
      <c r="K17" s="147">
        <v>0</v>
      </c>
    </row>
    <row r="18" spans="1:13" ht="99.75" customHeight="1" x14ac:dyDescent="0.25">
      <c r="A18" s="93" t="s">
        <v>154</v>
      </c>
      <c r="B18" s="93" t="s">
        <v>155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147">
        <v>0</v>
      </c>
      <c r="J18" s="147">
        <v>0</v>
      </c>
      <c r="K18" s="147">
        <v>0</v>
      </c>
      <c r="M18" s="141"/>
    </row>
    <row r="19" spans="1:13" ht="72.75" customHeight="1" x14ac:dyDescent="0.25">
      <c r="A19" s="93" t="s">
        <v>156</v>
      </c>
      <c r="B19" s="93" t="s">
        <v>157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47">
        <v>0</v>
      </c>
      <c r="J19" s="147">
        <v>0</v>
      </c>
      <c r="K19" s="147">
        <v>0</v>
      </c>
    </row>
    <row r="20" spans="1:13" ht="40.5" customHeight="1" x14ac:dyDescent="0.25">
      <c r="A20" s="93" t="s">
        <v>158</v>
      </c>
      <c r="B20" s="93" t="s">
        <v>169</v>
      </c>
      <c r="C20" s="92" t="s">
        <v>147</v>
      </c>
      <c r="D20" s="92" t="s">
        <v>147</v>
      </c>
      <c r="E20" s="95" t="e">
        <f>E21*E22/1000</f>
        <v>#REF!</v>
      </c>
      <c r="F20" s="92" t="s">
        <v>147</v>
      </c>
      <c r="G20" s="92" t="s">
        <v>147</v>
      </c>
      <c r="H20" s="95" t="e">
        <f>H21*H22/1000</f>
        <v>#REF!</v>
      </c>
      <c r="I20" s="147" t="s">
        <v>147</v>
      </c>
      <c r="J20" s="147" t="s">
        <v>147</v>
      </c>
      <c r="K20" s="101" t="e">
        <f>K21*K22/1000</f>
        <v>#REF!</v>
      </c>
    </row>
    <row r="21" spans="1:13" ht="40.5" customHeight="1" x14ac:dyDescent="0.25">
      <c r="A21" s="93" t="s">
        <v>159</v>
      </c>
      <c r="B21" s="93" t="s">
        <v>160</v>
      </c>
      <c r="C21" s="92" t="s">
        <v>147</v>
      </c>
      <c r="D21" s="92" t="s">
        <v>147</v>
      </c>
      <c r="E21" s="95">
        <f>466.1</f>
        <v>466.1</v>
      </c>
      <c r="F21" s="92" t="s">
        <v>147</v>
      </c>
      <c r="G21" s="92" t="s">
        <v>147</v>
      </c>
      <c r="H21" s="95">
        <f>E21</f>
        <v>466.1</v>
      </c>
      <c r="I21" s="147" t="s">
        <v>147</v>
      </c>
      <c r="J21" s="147" t="s">
        <v>147</v>
      </c>
      <c r="K21" s="101">
        <f>H21</f>
        <v>466.1</v>
      </c>
    </row>
    <row r="22" spans="1:13" ht="163.5" customHeight="1" x14ac:dyDescent="0.25">
      <c r="A22" s="93" t="s">
        <v>161</v>
      </c>
      <c r="B22" s="93" t="s">
        <v>170</v>
      </c>
      <c r="C22" s="92" t="s">
        <v>147</v>
      </c>
      <c r="D22" s="92" t="s">
        <v>147</v>
      </c>
      <c r="E22" s="92" t="e">
        <f>#REF!</f>
        <v>#REF!</v>
      </c>
      <c r="F22" s="92" t="s">
        <v>147</v>
      </c>
      <c r="G22" s="92" t="s">
        <v>147</v>
      </c>
      <c r="H22" s="92" t="e">
        <f>E22</f>
        <v>#REF!</v>
      </c>
      <c r="I22" s="147" t="s">
        <v>147</v>
      </c>
      <c r="J22" s="147" t="s">
        <v>147</v>
      </c>
      <c r="K22" s="147" t="e">
        <f>#REF!</f>
        <v>#REF!</v>
      </c>
    </row>
    <row r="23" spans="1:13" ht="84.75" customHeight="1" x14ac:dyDescent="0.25">
      <c r="A23" s="93" t="s">
        <v>162</v>
      </c>
      <c r="B23" s="93" t="s">
        <v>171</v>
      </c>
      <c r="C23" s="92" t="s">
        <v>147</v>
      </c>
      <c r="D23" s="92" t="s">
        <v>147</v>
      </c>
      <c r="E23" s="96" t="e">
        <f>E9+E14-E20</f>
        <v>#REF!</v>
      </c>
      <c r="F23" s="92" t="s">
        <v>147</v>
      </c>
      <c r="G23" s="92" t="s">
        <v>147</v>
      </c>
      <c r="H23" s="96" t="e">
        <f>H9+H14-H20</f>
        <v>#REF!</v>
      </c>
      <c r="I23" s="147" t="s">
        <v>147</v>
      </c>
      <c r="J23" s="147" t="s">
        <v>147</v>
      </c>
      <c r="K23" s="99" t="e">
        <f>K9+K14-K20</f>
        <v>#REF!</v>
      </c>
    </row>
    <row r="26" spans="1:13" ht="18.75" x14ac:dyDescent="0.3">
      <c r="A26" s="88" t="str">
        <f>'Информация о тех. прис.'!A56</f>
        <v>Директор ООО "Трансэнерго"</v>
      </c>
      <c r="B26" s="88"/>
      <c r="C26" s="88"/>
      <c r="D26" s="88"/>
      <c r="E26" s="88"/>
      <c r="F26" s="88"/>
      <c r="G26" s="88"/>
      <c r="H26" s="88"/>
      <c r="I26" s="160"/>
      <c r="J26" s="303" t="str">
        <f>'Информация о тех. прис.'!K56</f>
        <v>Самохин С.М.</v>
      </c>
      <c r="K26" s="303"/>
    </row>
    <row r="28" spans="1:13" x14ac:dyDescent="0.25">
      <c r="E28" s="144"/>
    </row>
    <row r="29" spans="1:13" x14ac:dyDescent="0.25">
      <c r="K29" s="225"/>
    </row>
    <row r="30" spans="1:13" x14ac:dyDescent="0.25">
      <c r="E30" s="163"/>
      <c r="H30" s="144"/>
      <c r="K30" s="161"/>
    </row>
    <row r="31" spans="1:13" x14ac:dyDescent="0.25">
      <c r="E31" s="144"/>
    </row>
  </sheetData>
  <mergeCells count="8">
    <mergeCell ref="J26:K26"/>
    <mergeCell ref="A3:K3"/>
    <mergeCell ref="A4:K4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30"/>
  <sheetViews>
    <sheetView topLeftCell="A19" zoomScale="73" zoomScaleNormal="73" workbookViewId="0">
      <selection activeCell="D16" sqref="D16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4.42578125" style="87" customWidth="1"/>
    <col min="4" max="4" width="15.28515625" style="87" customWidth="1"/>
    <col min="5" max="5" width="12.7109375" style="87" customWidth="1"/>
    <col min="6" max="6" width="14.42578125" style="87" customWidth="1"/>
    <col min="7" max="7" width="13" style="87" customWidth="1"/>
    <col min="8" max="8" width="14.5703125" style="87" customWidth="1"/>
    <col min="9" max="9" width="12.28515625" style="103" customWidth="1"/>
    <col min="10" max="10" width="12.85546875" style="103" customWidth="1"/>
    <col min="11" max="11" width="15.42578125" style="103" bestFit="1" customWidth="1"/>
    <col min="12" max="12" width="9.140625" style="87"/>
    <col min="13" max="13" width="10.140625" style="87" bestFit="1" customWidth="1"/>
    <col min="14" max="16384" width="9.140625" style="87"/>
  </cols>
  <sheetData>
    <row r="1" spans="1:13" x14ac:dyDescent="0.25">
      <c r="K1" s="159" t="s">
        <v>163</v>
      </c>
    </row>
    <row r="2" spans="1:13" ht="9" customHeight="1" x14ac:dyDescent="0.25">
      <c r="A2" s="91"/>
    </row>
    <row r="3" spans="1:13" ht="72.75" customHeight="1" x14ac:dyDescent="0.25">
      <c r="A3" s="302" t="s">
        <v>380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3" ht="23.25" customHeight="1" x14ac:dyDescent="0.25">
      <c r="A4" s="302" t="s">
        <v>271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3" ht="14.25" customHeight="1" x14ac:dyDescent="0.25">
      <c r="A5" s="94"/>
      <c r="B5" s="94"/>
      <c r="C5" s="94"/>
      <c r="D5" s="94"/>
      <c r="E5" s="94"/>
      <c r="F5" s="94"/>
      <c r="G5" s="94"/>
      <c r="H5" s="94"/>
      <c r="I5" s="104"/>
      <c r="J5" s="104"/>
      <c r="K5" s="104"/>
    </row>
    <row r="6" spans="1:13" ht="51" customHeight="1" x14ac:dyDescent="0.25">
      <c r="A6" s="304" t="s">
        <v>135</v>
      </c>
      <c r="B6" s="304" t="s">
        <v>136</v>
      </c>
      <c r="C6" s="305" t="s">
        <v>272</v>
      </c>
      <c r="D6" s="306"/>
      <c r="E6" s="307"/>
      <c r="F6" s="305" t="s">
        <v>273</v>
      </c>
      <c r="G6" s="306"/>
      <c r="H6" s="307"/>
      <c r="I6" s="308" t="s">
        <v>270</v>
      </c>
      <c r="J6" s="309"/>
      <c r="K6" s="310"/>
    </row>
    <row r="7" spans="1:13" ht="130.5" customHeight="1" x14ac:dyDescent="0.25">
      <c r="A7" s="304"/>
      <c r="B7" s="304"/>
      <c r="C7" s="189" t="s">
        <v>173</v>
      </c>
      <c r="D7" s="189" t="s">
        <v>174</v>
      </c>
      <c r="E7" s="189" t="s">
        <v>172</v>
      </c>
      <c r="F7" s="189" t="s">
        <v>175</v>
      </c>
      <c r="G7" s="189" t="s">
        <v>174</v>
      </c>
      <c r="H7" s="189" t="s">
        <v>176</v>
      </c>
      <c r="I7" s="147" t="s">
        <v>177</v>
      </c>
      <c r="J7" s="147" t="s">
        <v>174</v>
      </c>
      <c r="K7" s="147" t="s">
        <v>178</v>
      </c>
    </row>
    <row r="8" spans="1:13" x14ac:dyDescent="0.2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47">
        <v>9</v>
      </c>
      <c r="J8" s="147">
        <v>10</v>
      </c>
      <c r="K8" s="147">
        <v>11</v>
      </c>
    </row>
    <row r="9" spans="1:13" ht="67.5" customHeight="1" x14ac:dyDescent="0.25">
      <c r="A9" s="93" t="s">
        <v>137</v>
      </c>
      <c r="B9" s="93" t="s">
        <v>167</v>
      </c>
      <c r="C9" s="95" t="e">
        <f>#REF!</f>
        <v>#REF!</v>
      </c>
      <c r="D9" s="95" t="e">
        <f>#REF!</f>
        <v>#REF!</v>
      </c>
      <c r="E9" s="101" t="e">
        <f>C9*D9/1000</f>
        <v>#REF!</v>
      </c>
      <c r="F9" s="95" t="e">
        <f>C9</f>
        <v>#REF!</v>
      </c>
      <c r="G9" s="95" t="e">
        <f>G10</f>
        <v>#REF!</v>
      </c>
      <c r="H9" s="95" t="e">
        <f>F9*G9/1000</f>
        <v>#REF!</v>
      </c>
      <c r="I9" s="101">
        <v>0</v>
      </c>
      <c r="J9" s="101">
        <v>0</v>
      </c>
      <c r="K9" s="101">
        <f>I9*$K$22/1000</f>
        <v>0</v>
      </c>
      <c r="M9" s="200" t="e">
        <f>E9-#REF!</f>
        <v>#REF!</v>
      </c>
    </row>
    <row r="10" spans="1:13" ht="69" customHeight="1" x14ac:dyDescent="0.25">
      <c r="A10" s="93" t="s">
        <v>138</v>
      </c>
      <c r="B10" s="93" t="s">
        <v>139</v>
      </c>
      <c r="C10" s="95" t="e">
        <f>#REF!</f>
        <v>#REF!</v>
      </c>
      <c r="D10" s="95" t="e">
        <f>D9</f>
        <v>#REF!</v>
      </c>
      <c r="E10" s="95" t="e">
        <f>C10*D10/1000</f>
        <v>#REF!</v>
      </c>
      <c r="F10" s="95" t="e">
        <f t="shared" ref="F10:F13" si="0">C10</f>
        <v>#REF!</v>
      </c>
      <c r="G10" s="95" t="e">
        <f>D10</f>
        <v>#REF!</v>
      </c>
      <c r="H10" s="95" t="e">
        <f t="shared" ref="H10:H12" si="1">F10*G10/1000</f>
        <v>#REF!</v>
      </c>
      <c r="I10" s="101">
        <v>0</v>
      </c>
      <c r="J10" s="101">
        <v>0</v>
      </c>
      <c r="K10" s="101">
        <f t="shared" ref="K10:K11" si="2">I10*$K$22/1000</f>
        <v>0</v>
      </c>
    </row>
    <row r="11" spans="1:13" ht="61.5" customHeight="1" x14ac:dyDescent="0.25">
      <c r="A11" s="93" t="s">
        <v>140</v>
      </c>
      <c r="B11" s="93" t="s">
        <v>141</v>
      </c>
      <c r="C11" s="95" t="e">
        <f>#REF!</f>
        <v>#REF!</v>
      </c>
      <c r="D11" s="95" t="e">
        <f>D9</f>
        <v>#REF!</v>
      </c>
      <c r="E11" s="95" t="e">
        <f>C11*D11/1000</f>
        <v>#REF!</v>
      </c>
      <c r="F11" s="95" t="e">
        <f t="shared" si="0"/>
        <v>#REF!</v>
      </c>
      <c r="G11" s="95" t="e">
        <f t="shared" ref="G11:G13" si="3">D11</f>
        <v>#REF!</v>
      </c>
      <c r="H11" s="95" t="e">
        <f t="shared" si="1"/>
        <v>#REF!</v>
      </c>
      <c r="I11" s="101">
        <v>0</v>
      </c>
      <c r="J11" s="101">
        <v>0</v>
      </c>
      <c r="K11" s="101">
        <f t="shared" si="2"/>
        <v>0</v>
      </c>
    </row>
    <row r="12" spans="1:13" ht="105.75" customHeight="1" x14ac:dyDescent="0.25">
      <c r="A12" s="93" t="s">
        <v>142</v>
      </c>
      <c r="B12" s="93" t="s">
        <v>143</v>
      </c>
      <c r="C12" s="95" t="e">
        <f>#REF!</f>
        <v>#REF!</v>
      </c>
      <c r="D12" s="95">
        <v>0</v>
      </c>
      <c r="E12" s="95">
        <v>0</v>
      </c>
      <c r="F12" s="95" t="e">
        <f t="shared" si="0"/>
        <v>#REF!</v>
      </c>
      <c r="G12" s="95">
        <f t="shared" si="3"/>
        <v>0</v>
      </c>
      <c r="H12" s="95" t="e">
        <f t="shared" si="1"/>
        <v>#REF!</v>
      </c>
      <c r="I12" s="101">
        <v>0</v>
      </c>
      <c r="J12" s="101">
        <v>0</v>
      </c>
      <c r="K12" s="101">
        <v>0</v>
      </c>
    </row>
    <row r="13" spans="1:13" ht="129" customHeight="1" x14ac:dyDescent="0.25">
      <c r="A13" s="93" t="s">
        <v>144</v>
      </c>
      <c r="B13" s="93" t="s">
        <v>145</v>
      </c>
      <c r="C13" s="95" t="e">
        <f>#REF!</f>
        <v>#REF!</v>
      </c>
      <c r="D13" s="95" t="e">
        <f>D9</f>
        <v>#REF!</v>
      </c>
      <c r="E13" s="95" t="e">
        <f>C13*D13/1000</f>
        <v>#REF!</v>
      </c>
      <c r="F13" s="95" t="e">
        <f t="shared" si="0"/>
        <v>#REF!</v>
      </c>
      <c r="G13" s="95" t="e">
        <f t="shared" si="3"/>
        <v>#REF!</v>
      </c>
      <c r="H13" s="95" t="e">
        <f>F13*G13/1000</f>
        <v>#REF!</v>
      </c>
      <c r="I13" s="101">
        <v>0</v>
      </c>
      <c r="J13" s="101">
        <v>0</v>
      </c>
      <c r="K13" s="101">
        <f t="shared" ref="K13" si="4">I13*J13/1000</f>
        <v>0</v>
      </c>
    </row>
    <row r="14" spans="1:13" ht="73.5" customHeight="1" x14ac:dyDescent="0.25">
      <c r="A14" s="93" t="s">
        <v>146</v>
      </c>
      <c r="B14" s="93" t="s">
        <v>168</v>
      </c>
      <c r="C14" s="189" t="s">
        <v>147</v>
      </c>
      <c r="D14" s="189" t="s">
        <v>147</v>
      </c>
      <c r="E14" s="99" t="e">
        <f>E15</f>
        <v>#REF!</v>
      </c>
      <c r="F14" s="189" t="s">
        <v>147</v>
      </c>
      <c r="G14" s="189" t="s">
        <v>147</v>
      </c>
      <c r="H14" s="96" t="e">
        <f>H15</f>
        <v>#REF!</v>
      </c>
      <c r="I14" s="147" t="s">
        <v>147</v>
      </c>
      <c r="J14" s="147" t="s">
        <v>147</v>
      </c>
      <c r="K14" s="99">
        <v>0</v>
      </c>
    </row>
    <row r="15" spans="1:13" ht="45.75" customHeight="1" x14ac:dyDescent="0.25">
      <c r="A15" s="93" t="s">
        <v>148</v>
      </c>
      <c r="B15" s="93" t="s">
        <v>149</v>
      </c>
      <c r="C15" s="96" t="e">
        <f>E15/D15*1000</f>
        <v>#REF!</v>
      </c>
      <c r="D15" s="95" t="e">
        <f>#REF!</f>
        <v>#REF!</v>
      </c>
      <c r="E15" s="96" t="e">
        <f>#REF!</f>
        <v>#REF!</v>
      </c>
      <c r="F15" s="96" t="e">
        <f>C15</f>
        <v>#REF!</v>
      </c>
      <c r="G15" s="96" t="e">
        <f>D15</f>
        <v>#REF!</v>
      </c>
      <c r="H15" s="96" t="e">
        <f>F15*G15/1000</f>
        <v>#REF!</v>
      </c>
      <c r="I15" s="129">
        <v>0</v>
      </c>
      <c r="J15" s="129">
        <v>0</v>
      </c>
      <c r="K15" s="99">
        <f>I15*J15/1000</f>
        <v>0</v>
      </c>
      <c r="M15" s="199" t="e">
        <f>E15-#REF!</f>
        <v>#REF!</v>
      </c>
    </row>
    <row r="16" spans="1:13" ht="49.5" customHeight="1" x14ac:dyDescent="0.25">
      <c r="A16" s="93" t="s">
        <v>150</v>
      </c>
      <c r="B16" s="93" t="s">
        <v>151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29">
        <v>0</v>
      </c>
      <c r="J16" s="147">
        <v>0</v>
      </c>
      <c r="K16" s="101">
        <f>I16*J16/1000</f>
        <v>0</v>
      </c>
    </row>
    <row r="17" spans="1:11" ht="49.5" customHeight="1" x14ac:dyDescent="0.25">
      <c r="A17" s="93" t="s">
        <v>152</v>
      </c>
      <c r="B17" s="93" t="s">
        <v>153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47">
        <v>0</v>
      </c>
      <c r="J17" s="147">
        <v>0</v>
      </c>
      <c r="K17" s="147">
        <v>0</v>
      </c>
    </row>
    <row r="18" spans="1:11" ht="99.75" customHeight="1" x14ac:dyDescent="0.25">
      <c r="A18" s="93" t="s">
        <v>154</v>
      </c>
      <c r="B18" s="93" t="s">
        <v>155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47">
        <v>0</v>
      </c>
      <c r="J18" s="147">
        <v>0</v>
      </c>
      <c r="K18" s="147">
        <v>0</v>
      </c>
    </row>
    <row r="19" spans="1:11" ht="72.75" customHeight="1" x14ac:dyDescent="0.25">
      <c r="A19" s="93" t="s">
        <v>156</v>
      </c>
      <c r="B19" s="93" t="s">
        <v>157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47">
        <v>0</v>
      </c>
      <c r="J19" s="147">
        <v>0</v>
      </c>
      <c r="K19" s="147">
        <v>0</v>
      </c>
    </row>
    <row r="20" spans="1:11" ht="40.5" customHeight="1" x14ac:dyDescent="0.25">
      <c r="A20" s="93" t="s">
        <v>158</v>
      </c>
      <c r="B20" s="93" t="s">
        <v>169</v>
      </c>
      <c r="C20" s="189" t="s">
        <v>147</v>
      </c>
      <c r="D20" s="189" t="s">
        <v>147</v>
      </c>
      <c r="E20" s="95" t="e">
        <f>E21*E22/1000</f>
        <v>#REF!</v>
      </c>
      <c r="F20" s="189" t="s">
        <v>147</v>
      </c>
      <c r="G20" s="189" t="s">
        <v>147</v>
      </c>
      <c r="H20" s="95" t="e">
        <f>H21*H22/1000</f>
        <v>#REF!</v>
      </c>
      <c r="I20" s="147" t="s">
        <v>147</v>
      </c>
      <c r="J20" s="147" t="s">
        <v>147</v>
      </c>
      <c r="K20" s="101">
        <v>0</v>
      </c>
    </row>
    <row r="21" spans="1:11" ht="40.5" customHeight="1" x14ac:dyDescent="0.25">
      <c r="A21" s="93" t="s">
        <v>159</v>
      </c>
      <c r="B21" s="93" t="s">
        <v>160</v>
      </c>
      <c r="C21" s="189" t="s">
        <v>147</v>
      </c>
      <c r="D21" s="189" t="s">
        <v>147</v>
      </c>
      <c r="E21" s="96" t="e">
        <f>466.1+E15*1000</f>
        <v>#REF!</v>
      </c>
      <c r="F21" s="189" t="s">
        <v>147</v>
      </c>
      <c r="G21" s="189" t="s">
        <v>147</v>
      </c>
      <c r="H21" s="96" t="e">
        <f>E21</f>
        <v>#REF!</v>
      </c>
      <c r="I21" s="147" t="s">
        <v>147</v>
      </c>
      <c r="J21" s="147" t="s">
        <v>147</v>
      </c>
      <c r="K21" s="101">
        <v>0</v>
      </c>
    </row>
    <row r="22" spans="1:11" ht="163.5" customHeight="1" x14ac:dyDescent="0.25">
      <c r="A22" s="93" t="s">
        <v>161</v>
      </c>
      <c r="B22" s="93" t="s">
        <v>170</v>
      </c>
      <c r="C22" s="189" t="s">
        <v>147</v>
      </c>
      <c r="D22" s="189" t="s">
        <v>147</v>
      </c>
      <c r="E22" s="189" t="e">
        <f>#REF!</f>
        <v>#REF!</v>
      </c>
      <c r="F22" s="189" t="s">
        <v>147</v>
      </c>
      <c r="G22" s="189" t="s">
        <v>147</v>
      </c>
      <c r="H22" s="189" t="e">
        <f>E22</f>
        <v>#REF!</v>
      </c>
      <c r="I22" s="147" t="s">
        <v>147</v>
      </c>
      <c r="J22" s="147" t="s">
        <v>147</v>
      </c>
      <c r="K22" s="147">
        <v>0</v>
      </c>
    </row>
    <row r="23" spans="1:11" ht="84.75" customHeight="1" x14ac:dyDescent="0.25">
      <c r="A23" s="93" t="s">
        <v>162</v>
      </c>
      <c r="B23" s="93" t="s">
        <v>171</v>
      </c>
      <c r="C23" s="189" t="s">
        <v>147</v>
      </c>
      <c r="D23" s="189" t="s">
        <v>147</v>
      </c>
      <c r="E23" s="96" t="e">
        <f>E9+E14-E20</f>
        <v>#REF!</v>
      </c>
      <c r="F23" s="189" t="s">
        <v>147</v>
      </c>
      <c r="G23" s="189" t="s">
        <v>147</v>
      </c>
      <c r="H23" s="96" t="e">
        <f>H9+H14-H20</f>
        <v>#REF!</v>
      </c>
      <c r="I23" s="147" t="s">
        <v>147</v>
      </c>
      <c r="J23" s="147" t="s">
        <v>147</v>
      </c>
      <c r="K23" s="99">
        <f>K9+K14-K20</f>
        <v>0</v>
      </c>
    </row>
    <row r="26" spans="1:11" ht="18.75" x14ac:dyDescent="0.3">
      <c r="A26" s="88" t="str">
        <f>'Информация о тех. прис.'!A56</f>
        <v>Директор ООО "Трансэнерго"</v>
      </c>
      <c r="B26" s="88"/>
      <c r="C26" s="88"/>
      <c r="D26" s="88"/>
      <c r="E26" s="88"/>
      <c r="F26" s="88"/>
      <c r="G26" s="88"/>
      <c r="H26" s="88"/>
      <c r="I26" s="160"/>
      <c r="J26" s="303" t="str">
        <f>'Информация о тех. прис.'!K56</f>
        <v>Самохин С.М.</v>
      </c>
      <c r="K26" s="303"/>
    </row>
    <row r="29" spans="1:11" x14ac:dyDescent="0.25">
      <c r="E29" s="141"/>
    </row>
    <row r="30" spans="1:11" x14ac:dyDescent="0.25">
      <c r="E30" s="201"/>
      <c r="H30" s="144"/>
      <c r="K30" s="161"/>
    </row>
  </sheetData>
  <mergeCells count="8">
    <mergeCell ref="J26:K26"/>
    <mergeCell ref="A3:K3"/>
    <mergeCell ref="A4:K4"/>
    <mergeCell ref="A6:A7"/>
    <mergeCell ref="B6:B7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30"/>
  <sheetViews>
    <sheetView topLeftCell="A19" zoomScale="78" zoomScaleNormal="78" workbookViewId="0">
      <selection activeCell="E20" sqref="E20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1.85546875" style="87" customWidth="1"/>
    <col min="5" max="5" width="12.42578125" style="87" customWidth="1"/>
    <col min="6" max="7" width="13" style="87" customWidth="1"/>
    <col min="8" max="8" width="10.7109375" style="87" customWidth="1"/>
    <col min="9" max="9" width="12.28515625" style="103" customWidth="1"/>
    <col min="10" max="10" width="12.85546875" style="103" customWidth="1"/>
    <col min="11" max="11" width="15.42578125" style="103" bestFit="1" customWidth="1"/>
    <col min="12" max="16384" width="9.140625" style="87"/>
  </cols>
  <sheetData>
    <row r="1" spans="1:11" x14ac:dyDescent="0.25">
      <c r="K1" s="159" t="s">
        <v>163</v>
      </c>
    </row>
    <row r="2" spans="1:11" ht="9" customHeight="1" x14ac:dyDescent="0.25">
      <c r="A2" s="91"/>
    </row>
    <row r="3" spans="1:11" ht="61.5" customHeight="1" x14ac:dyDescent="0.25">
      <c r="A3" s="302" t="s">
        <v>278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23.25" customHeight="1" x14ac:dyDescent="0.25">
      <c r="A4" s="302" t="s">
        <v>271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4.25" customHeight="1" x14ac:dyDescent="0.25">
      <c r="A5" s="94"/>
      <c r="B5" s="94"/>
      <c r="C5" s="94"/>
      <c r="D5" s="94"/>
      <c r="E5" s="94"/>
      <c r="F5" s="94"/>
      <c r="G5" s="94"/>
      <c r="H5" s="94"/>
      <c r="I5" s="104"/>
      <c r="J5" s="104"/>
      <c r="K5" s="104"/>
    </row>
    <row r="6" spans="1:11" ht="51" customHeight="1" x14ac:dyDescent="0.25">
      <c r="A6" s="304" t="s">
        <v>135</v>
      </c>
      <c r="B6" s="304" t="s">
        <v>136</v>
      </c>
      <c r="C6" s="305" t="s">
        <v>272</v>
      </c>
      <c r="D6" s="306"/>
      <c r="E6" s="307"/>
      <c r="F6" s="305" t="s">
        <v>273</v>
      </c>
      <c r="G6" s="306"/>
      <c r="H6" s="307"/>
      <c r="I6" s="308" t="s">
        <v>270</v>
      </c>
      <c r="J6" s="309"/>
      <c r="K6" s="310"/>
    </row>
    <row r="7" spans="1:11" ht="135.75" customHeight="1" x14ac:dyDescent="0.25">
      <c r="A7" s="304"/>
      <c r="B7" s="304"/>
      <c r="C7" s="151" t="s">
        <v>173</v>
      </c>
      <c r="D7" s="151" t="s">
        <v>174</v>
      </c>
      <c r="E7" s="151" t="s">
        <v>172</v>
      </c>
      <c r="F7" s="151" t="s">
        <v>175</v>
      </c>
      <c r="G7" s="151" t="s">
        <v>174</v>
      </c>
      <c r="H7" s="151" t="s">
        <v>176</v>
      </c>
      <c r="I7" s="147" t="s">
        <v>177</v>
      </c>
      <c r="J7" s="147" t="s">
        <v>174</v>
      </c>
      <c r="K7" s="147" t="s">
        <v>178</v>
      </c>
    </row>
    <row r="8" spans="1:11" x14ac:dyDescent="0.25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47">
        <v>9</v>
      </c>
      <c r="J8" s="147">
        <v>10</v>
      </c>
      <c r="K8" s="147">
        <v>11</v>
      </c>
    </row>
    <row r="9" spans="1:11" ht="67.5" customHeight="1" x14ac:dyDescent="0.25">
      <c r="A9" s="93" t="s">
        <v>137</v>
      </c>
      <c r="B9" s="93" t="s">
        <v>167</v>
      </c>
      <c r="C9" s="95" t="e">
        <f>#REF!</f>
        <v>#REF!</v>
      </c>
      <c r="D9" s="95" t="e">
        <f>#REF!</f>
        <v>#REF!</v>
      </c>
      <c r="E9" s="101" t="e">
        <f>C9*D9/1000</f>
        <v>#REF!</v>
      </c>
      <c r="F9" s="151" t="e">
        <f>F10+F11+F12+F13</f>
        <v>#REF!</v>
      </c>
      <c r="G9" s="95" t="e">
        <f>G10</f>
        <v>#REF!</v>
      </c>
      <c r="H9" s="95" t="e">
        <f>F9*G9/1000</f>
        <v>#REF!</v>
      </c>
      <c r="I9" s="147">
        <v>0</v>
      </c>
      <c r="J9" s="143">
        <v>0</v>
      </c>
      <c r="K9" s="143">
        <f>I9*J9/1000</f>
        <v>0</v>
      </c>
    </row>
    <row r="10" spans="1:11" ht="69" customHeight="1" x14ac:dyDescent="0.25">
      <c r="A10" s="93" t="s">
        <v>138</v>
      </c>
      <c r="B10" s="93" t="s">
        <v>139</v>
      </c>
      <c r="C10" s="95" t="e">
        <f>#REF!</f>
        <v>#REF!</v>
      </c>
      <c r="D10" s="95" t="e">
        <f>D9</f>
        <v>#REF!</v>
      </c>
      <c r="E10" s="95" t="e">
        <f>C10*D10/1000</f>
        <v>#REF!</v>
      </c>
      <c r="F10" s="95" t="e">
        <f>C10</f>
        <v>#REF!</v>
      </c>
      <c r="G10" s="95" t="e">
        <f>D10</f>
        <v>#REF!</v>
      </c>
      <c r="H10" s="95" t="e">
        <f t="shared" ref="H10:H12" si="0">F10*G10/1000</f>
        <v>#REF!</v>
      </c>
      <c r="I10" s="147">
        <v>0</v>
      </c>
      <c r="J10" s="143">
        <f>J9</f>
        <v>0</v>
      </c>
      <c r="K10" s="143">
        <f t="shared" ref="K10:K13" si="1">I10*J10/1000</f>
        <v>0</v>
      </c>
    </row>
    <row r="11" spans="1:11" ht="61.5" customHeight="1" x14ac:dyDescent="0.25">
      <c r="A11" s="93" t="s">
        <v>140</v>
      </c>
      <c r="B11" s="93" t="s">
        <v>141</v>
      </c>
      <c r="C11" s="95" t="e">
        <f>#REF!</f>
        <v>#REF!</v>
      </c>
      <c r="D11" s="95" t="e">
        <f>D9</f>
        <v>#REF!</v>
      </c>
      <c r="E11" s="95" t="e">
        <f>C11*D11/1000</f>
        <v>#REF!</v>
      </c>
      <c r="F11" s="95" t="e">
        <f t="shared" ref="F11:G13" si="2">C11</f>
        <v>#REF!</v>
      </c>
      <c r="G11" s="95" t="e">
        <f t="shared" si="2"/>
        <v>#REF!</v>
      </c>
      <c r="H11" s="95" t="e">
        <f t="shared" si="0"/>
        <v>#REF!</v>
      </c>
      <c r="I11" s="147">
        <v>0</v>
      </c>
      <c r="J11" s="143">
        <f>J9</f>
        <v>0</v>
      </c>
      <c r="K11" s="143">
        <f t="shared" si="1"/>
        <v>0</v>
      </c>
    </row>
    <row r="12" spans="1:11" ht="105.75" customHeight="1" x14ac:dyDescent="0.25">
      <c r="A12" s="93" t="s">
        <v>142</v>
      </c>
      <c r="B12" s="93" t="s">
        <v>143</v>
      </c>
      <c r="C12" s="95" t="e">
        <f>#REF!</f>
        <v>#REF!</v>
      </c>
      <c r="D12" s="95">
        <v>0</v>
      </c>
      <c r="E12" s="95">
        <v>0</v>
      </c>
      <c r="F12" s="95" t="e">
        <f t="shared" si="2"/>
        <v>#REF!</v>
      </c>
      <c r="G12" s="95">
        <f t="shared" si="2"/>
        <v>0</v>
      </c>
      <c r="H12" s="95" t="e">
        <f t="shared" si="0"/>
        <v>#REF!</v>
      </c>
      <c r="I12" s="101">
        <v>0</v>
      </c>
      <c r="J12" s="101">
        <v>0</v>
      </c>
      <c r="K12" s="101">
        <v>0</v>
      </c>
    </row>
    <row r="13" spans="1:11" ht="129" customHeight="1" x14ac:dyDescent="0.25">
      <c r="A13" s="93" t="s">
        <v>144</v>
      </c>
      <c r="B13" s="93" t="s">
        <v>145</v>
      </c>
      <c r="C13" s="95" t="e">
        <f>#REF!</f>
        <v>#REF!</v>
      </c>
      <c r="D13" s="95" t="e">
        <f>D9</f>
        <v>#REF!</v>
      </c>
      <c r="E13" s="95" t="e">
        <f>C13*D13/1000</f>
        <v>#REF!</v>
      </c>
      <c r="F13" s="95" t="e">
        <f t="shared" si="2"/>
        <v>#REF!</v>
      </c>
      <c r="G13" s="95" t="e">
        <f t="shared" si="2"/>
        <v>#REF!</v>
      </c>
      <c r="H13" s="95" t="e">
        <f>F13*G13/1000</f>
        <v>#REF!</v>
      </c>
      <c r="I13" s="147">
        <v>189.58</v>
      </c>
      <c r="J13" s="143">
        <f>J9</f>
        <v>0</v>
      </c>
      <c r="K13" s="143">
        <f t="shared" si="1"/>
        <v>0</v>
      </c>
    </row>
    <row r="14" spans="1:11" ht="73.5" customHeight="1" x14ac:dyDescent="0.25">
      <c r="A14" s="93" t="s">
        <v>146</v>
      </c>
      <c r="B14" s="93" t="s">
        <v>168</v>
      </c>
      <c r="C14" s="151" t="s">
        <v>147</v>
      </c>
      <c r="D14" s="151" t="s">
        <v>147</v>
      </c>
      <c r="E14" s="99" t="e">
        <f>E15</f>
        <v>#REF!</v>
      </c>
      <c r="F14" s="151" t="s">
        <v>147</v>
      </c>
      <c r="G14" s="151" t="s">
        <v>147</v>
      </c>
      <c r="H14" s="96" t="e">
        <f>H15</f>
        <v>#REF!</v>
      </c>
      <c r="I14" s="147" t="s">
        <v>147</v>
      </c>
      <c r="J14" s="147" t="s">
        <v>147</v>
      </c>
      <c r="K14" s="143">
        <f>K15+K16</f>
        <v>0</v>
      </c>
    </row>
    <row r="15" spans="1:11" ht="45.75" customHeight="1" x14ac:dyDescent="0.25">
      <c r="A15" s="93" t="s">
        <v>148</v>
      </c>
      <c r="B15" s="93" t="s">
        <v>149</v>
      </c>
      <c r="C15" s="96" t="e">
        <f>E15/D15*1000</f>
        <v>#REF!</v>
      </c>
      <c r="D15" s="95" t="e">
        <f>#REF!</f>
        <v>#REF!</v>
      </c>
      <c r="E15" s="96" t="e">
        <f>#REF!</f>
        <v>#REF!</v>
      </c>
      <c r="F15" s="96" t="e">
        <f>C15</f>
        <v>#REF!</v>
      </c>
      <c r="G15" s="96" t="e">
        <f>D15</f>
        <v>#REF!</v>
      </c>
      <c r="H15" s="96" t="e">
        <f>F15*G15</f>
        <v>#REF!</v>
      </c>
      <c r="I15" s="129">
        <v>0</v>
      </c>
      <c r="J15" s="101">
        <v>0</v>
      </c>
      <c r="K15" s="143">
        <f>I15*J15/1000</f>
        <v>0</v>
      </c>
    </row>
    <row r="16" spans="1:11" ht="49.5" customHeight="1" x14ac:dyDescent="0.25">
      <c r="A16" s="93" t="s">
        <v>150</v>
      </c>
      <c r="B16" s="93" t="s">
        <v>151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29">
        <v>0</v>
      </c>
      <c r="J16" s="147">
        <v>0</v>
      </c>
      <c r="K16" s="143">
        <f>I16*J16/1000</f>
        <v>0</v>
      </c>
    </row>
    <row r="17" spans="1:11" ht="49.5" customHeight="1" x14ac:dyDescent="0.25">
      <c r="A17" s="93" t="s">
        <v>152</v>
      </c>
      <c r="B17" s="93" t="s">
        <v>153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47">
        <v>0</v>
      </c>
      <c r="J17" s="147">
        <v>0</v>
      </c>
      <c r="K17" s="147">
        <v>0</v>
      </c>
    </row>
    <row r="18" spans="1:11" ht="99.75" customHeight="1" x14ac:dyDescent="0.25">
      <c r="A18" s="93" t="s">
        <v>154</v>
      </c>
      <c r="B18" s="93" t="s">
        <v>155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47">
        <v>0</v>
      </c>
      <c r="J18" s="147">
        <v>0</v>
      </c>
      <c r="K18" s="147">
        <v>0</v>
      </c>
    </row>
    <row r="19" spans="1:11" ht="72.75" customHeight="1" x14ac:dyDescent="0.25">
      <c r="A19" s="93" t="s">
        <v>156</v>
      </c>
      <c r="B19" s="93" t="s">
        <v>157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47">
        <v>0</v>
      </c>
      <c r="J19" s="147">
        <v>0</v>
      </c>
      <c r="K19" s="147">
        <v>0</v>
      </c>
    </row>
    <row r="20" spans="1:11" ht="40.5" customHeight="1" x14ac:dyDescent="0.25">
      <c r="A20" s="93" t="s">
        <v>158</v>
      </c>
      <c r="B20" s="93" t="s">
        <v>169</v>
      </c>
      <c r="C20" s="151" t="s">
        <v>147</v>
      </c>
      <c r="D20" s="151" t="s">
        <v>147</v>
      </c>
      <c r="E20" s="162" t="e">
        <f>E21*E22/1000</f>
        <v>#REF!</v>
      </c>
      <c r="F20" s="151" t="s">
        <v>147</v>
      </c>
      <c r="G20" s="151" t="s">
        <v>147</v>
      </c>
      <c r="H20" s="95" t="e">
        <f>H21*H22/1000</f>
        <v>#REF!</v>
      </c>
      <c r="I20" s="147" t="s">
        <v>147</v>
      </c>
      <c r="J20" s="147" t="s">
        <v>147</v>
      </c>
      <c r="K20" s="101">
        <f>K21*K22/1000</f>
        <v>0</v>
      </c>
    </row>
    <row r="21" spans="1:11" ht="40.5" customHeight="1" x14ac:dyDescent="0.25">
      <c r="A21" s="93" t="s">
        <v>159</v>
      </c>
      <c r="B21" s="93" t="s">
        <v>160</v>
      </c>
      <c r="C21" s="151" t="s">
        <v>147</v>
      </c>
      <c r="D21" s="151" t="s">
        <v>147</v>
      </c>
      <c r="E21" s="96" t="e">
        <f>C9*15</f>
        <v>#REF!</v>
      </c>
      <c r="F21" s="151" t="s">
        <v>147</v>
      </c>
      <c r="G21" s="151" t="s">
        <v>147</v>
      </c>
      <c r="H21" s="96" t="e">
        <f>E21</f>
        <v>#REF!</v>
      </c>
      <c r="I21" s="147" t="s">
        <v>147</v>
      </c>
      <c r="J21" s="147" t="s">
        <v>147</v>
      </c>
      <c r="K21" s="147">
        <v>0</v>
      </c>
    </row>
    <row r="22" spans="1:11" ht="165.75" customHeight="1" x14ac:dyDescent="0.25">
      <c r="A22" s="93" t="s">
        <v>161</v>
      </c>
      <c r="B22" s="93" t="s">
        <v>170</v>
      </c>
      <c r="C22" s="151" t="s">
        <v>147</v>
      </c>
      <c r="D22" s="151" t="s">
        <v>147</v>
      </c>
      <c r="E22" s="151" t="e">
        <f>#REF!</f>
        <v>#REF!</v>
      </c>
      <c r="F22" s="151" t="s">
        <v>147</v>
      </c>
      <c r="G22" s="151" t="s">
        <v>147</v>
      </c>
      <c r="H22" s="151" t="e">
        <f>E22</f>
        <v>#REF!</v>
      </c>
      <c r="I22" s="147" t="s">
        <v>147</v>
      </c>
      <c r="J22" s="147" t="s">
        <v>147</v>
      </c>
      <c r="K22" s="147">
        <v>0</v>
      </c>
    </row>
    <row r="23" spans="1:11" ht="102" customHeight="1" x14ac:dyDescent="0.25">
      <c r="A23" s="93" t="s">
        <v>162</v>
      </c>
      <c r="B23" s="93" t="s">
        <v>171</v>
      </c>
      <c r="C23" s="151" t="s">
        <v>147</v>
      </c>
      <c r="D23" s="151" t="s">
        <v>147</v>
      </c>
      <c r="E23" s="96" t="e">
        <f>E9+E14-E20</f>
        <v>#REF!</v>
      </c>
      <c r="F23" s="151" t="s">
        <v>147</v>
      </c>
      <c r="G23" s="151" t="s">
        <v>147</v>
      </c>
      <c r="H23" s="96" t="e">
        <f>H9+H14-H20</f>
        <v>#REF!</v>
      </c>
      <c r="I23" s="147" t="s">
        <v>147</v>
      </c>
      <c r="J23" s="147" t="s">
        <v>147</v>
      </c>
      <c r="K23" s="99">
        <f>K9+K14-K20</f>
        <v>0</v>
      </c>
    </row>
    <row r="26" spans="1:11" ht="18.75" x14ac:dyDescent="0.3">
      <c r="A26" s="88" t="str">
        <f>'Информация о тех. прис.'!A56</f>
        <v>Директор ООО "Трансэнерго"</v>
      </c>
      <c r="B26" s="88"/>
      <c r="C26" s="88"/>
      <c r="D26" s="88"/>
      <c r="E26" s="88"/>
      <c r="F26" s="88"/>
      <c r="G26" s="88"/>
      <c r="H26" s="88"/>
      <c r="I26" s="160"/>
      <c r="J26" s="303" t="str">
        <f>'Информация о тех. прис.'!K56</f>
        <v>Самохин С.М.</v>
      </c>
      <c r="K26" s="303"/>
    </row>
    <row r="29" spans="1:11" x14ac:dyDescent="0.25">
      <c r="E29" s="163"/>
    </row>
    <row r="30" spans="1:11" x14ac:dyDescent="0.25">
      <c r="E30" s="200"/>
      <c r="H30" s="144"/>
      <c r="K30" s="161"/>
    </row>
  </sheetData>
  <mergeCells count="8">
    <mergeCell ref="J26:K26"/>
    <mergeCell ref="A3:K3"/>
    <mergeCell ref="A4:K4"/>
    <mergeCell ref="A6:A7"/>
    <mergeCell ref="B6:B7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rowBreaks count="1" manualBreakCount="1">
    <brk id="1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view="pageBreakPreview" topLeftCell="A13" zoomScale="60" zoomScaleNormal="66" workbookViewId="0">
      <selection sqref="A1:XFD1048576"/>
    </sheetView>
  </sheetViews>
  <sheetFormatPr defaultColWidth="9.140625" defaultRowHeight="15.75" x14ac:dyDescent="0.25"/>
  <cols>
    <col min="1" max="1" width="6.85546875" style="87" customWidth="1"/>
    <col min="2" max="2" width="48" style="87" customWidth="1"/>
    <col min="3" max="3" width="12.7109375" style="87" customWidth="1"/>
    <col min="4" max="4" width="13.5703125" style="87" customWidth="1"/>
    <col min="5" max="5" width="13.42578125" style="87" customWidth="1"/>
    <col min="6" max="7" width="13" style="87" customWidth="1"/>
    <col min="8" max="8" width="12" style="87" customWidth="1"/>
    <col min="9" max="9" width="16.85546875" style="103" customWidth="1"/>
    <col min="10" max="10" width="13.140625" style="103" customWidth="1"/>
    <col min="11" max="11" width="11.85546875" style="103" bestFit="1" customWidth="1"/>
    <col min="12" max="12" width="9.140625" style="87"/>
    <col min="13" max="13" width="13" style="87" customWidth="1"/>
    <col min="14" max="16384" width="9.140625" style="87"/>
  </cols>
  <sheetData>
    <row r="1" spans="1:15" x14ac:dyDescent="0.25">
      <c r="G1" s="311" t="s">
        <v>183</v>
      </c>
      <c r="H1" s="311"/>
      <c r="I1" s="311"/>
      <c r="J1" s="311"/>
      <c r="K1" s="311"/>
    </row>
    <row r="2" spans="1:15" ht="9" customHeight="1" x14ac:dyDescent="0.25">
      <c r="A2" s="91"/>
    </row>
    <row r="3" spans="1:15" ht="61.5" customHeight="1" x14ac:dyDescent="0.25">
      <c r="A3" s="302" t="s">
        <v>181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5" ht="23.25" customHeight="1" x14ac:dyDescent="0.25">
      <c r="A4" s="302" t="s">
        <v>276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5" ht="14.25" customHeight="1" x14ac:dyDescent="0.25">
      <c r="A5" s="94"/>
      <c r="B5" s="94"/>
      <c r="C5" s="94"/>
      <c r="D5" s="94"/>
      <c r="E5" s="94"/>
      <c r="F5" s="94"/>
      <c r="G5" s="94"/>
      <c r="H5" s="94"/>
    </row>
    <row r="6" spans="1:15" ht="29.25" customHeight="1" x14ac:dyDescent="0.25">
      <c r="A6" s="304" t="s">
        <v>135</v>
      </c>
      <c r="B6" s="304" t="s">
        <v>136</v>
      </c>
      <c r="C6" s="304" t="s">
        <v>272</v>
      </c>
      <c r="D6" s="304"/>
      <c r="E6" s="304"/>
      <c r="F6" s="304" t="s">
        <v>273</v>
      </c>
      <c r="G6" s="304"/>
      <c r="H6" s="304"/>
      <c r="I6" s="312" t="s">
        <v>274</v>
      </c>
      <c r="J6" s="313"/>
      <c r="K6" s="314"/>
    </row>
    <row r="7" spans="1:15" ht="33.75" customHeight="1" x14ac:dyDescent="0.25">
      <c r="A7" s="304"/>
      <c r="B7" s="304"/>
      <c r="C7" s="304"/>
      <c r="D7" s="304"/>
      <c r="E7" s="304"/>
      <c r="F7" s="304"/>
      <c r="G7" s="304"/>
      <c r="H7" s="304"/>
      <c r="I7" s="315"/>
      <c r="J7" s="316"/>
      <c r="K7" s="317"/>
    </row>
    <row r="8" spans="1:15" ht="145.5" customHeight="1" x14ac:dyDescent="0.25">
      <c r="A8" s="304"/>
      <c r="B8" s="304"/>
      <c r="C8" s="115" t="s">
        <v>173</v>
      </c>
      <c r="D8" s="115" t="s">
        <v>174</v>
      </c>
      <c r="E8" s="115" t="s">
        <v>172</v>
      </c>
      <c r="F8" s="115" t="s">
        <v>175</v>
      </c>
      <c r="G8" s="115" t="s">
        <v>174</v>
      </c>
      <c r="H8" s="115" t="s">
        <v>176</v>
      </c>
      <c r="I8" s="147" t="s">
        <v>177</v>
      </c>
      <c r="J8" s="147" t="s">
        <v>174</v>
      </c>
      <c r="K8" s="147" t="s">
        <v>178</v>
      </c>
    </row>
    <row r="9" spans="1:15" x14ac:dyDescent="0.25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47">
        <v>9</v>
      </c>
      <c r="J9" s="147">
        <v>10</v>
      </c>
      <c r="K9" s="147">
        <v>11</v>
      </c>
    </row>
    <row r="10" spans="1:15" ht="80.25" customHeight="1" x14ac:dyDescent="0.25">
      <c r="A10" s="93" t="s">
        <v>137</v>
      </c>
      <c r="B10" s="93" t="s">
        <v>167</v>
      </c>
      <c r="C10" s="95" t="e">
        <f>#REF!</f>
        <v>#REF!</v>
      </c>
      <c r="D10" s="95" t="e">
        <f>#REF!</f>
        <v>#REF!</v>
      </c>
      <c r="E10" s="101" t="e">
        <f>C10*D10/1000</f>
        <v>#REF!</v>
      </c>
      <c r="F10" s="95" t="e">
        <f>C10</f>
        <v>#REF!</v>
      </c>
      <c r="G10" s="95" t="e">
        <f>G11</f>
        <v>#REF!</v>
      </c>
      <c r="H10" s="95" t="e">
        <f>F10*G10/1000</f>
        <v>#REF!</v>
      </c>
      <c r="I10" s="99" t="e">
        <f>'П1 0,4 кВт льготн'!I9</f>
        <v>#REF!</v>
      </c>
      <c r="J10" s="99" t="e">
        <f>#REF!</f>
        <v>#REF!</v>
      </c>
      <c r="K10" s="99" t="e">
        <f>I10*$K$23/1000</f>
        <v>#REF!</v>
      </c>
      <c r="M10" s="163" t="e">
        <f>E10-#REF!</f>
        <v>#REF!</v>
      </c>
    </row>
    <row r="11" spans="1:15" ht="69" customHeight="1" x14ac:dyDescent="0.25">
      <c r="A11" s="93" t="s">
        <v>138</v>
      </c>
      <c r="B11" s="93" t="s">
        <v>139</v>
      </c>
      <c r="C11" s="95" t="e">
        <f>#REF!</f>
        <v>#REF!</v>
      </c>
      <c r="D11" s="95" t="e">
        <f>D10</f>
        <v>#REF!</v>
      </c>
      <c r="E11" s="95" t="e">
        <f>C11*D11/1000</f>
        <v>#REF!</v>
      </c>
      <c r="F11" s="95" t="e">
        <f t="shared" ref="F11:F14" si="0">C11</f>
        <v>#REF!</v>
      </c>
      <c r="G11" s="95" t="e">
        <f>D11</f>
        <v>#REF!</v>
      </c>
      <c r="H11" s="95" t="e">
        <f t="shared" ref="H11:H13" si="1">F11*G11/1000</f>
        <v>#REF!</v>
      </c>
      <c r="I11" s="99" t="e">
        <f>'П1 0,4 кВт льготн'!I10</f>
        <v>#REF!</v>
      </c>
      <c r="J11" s="99" t="e">
        <f>J10</f>
        <v>#REF!</v>
      </c>
      <c r="K11" s="99" t="e">
        <f t="shared" ref="K11:K14" si="2">I11*$K$23/1000</f>
        <v>#REF!</v>
      </c>
    </row>
    <row r="12" spans="1:15" ht="61.5" customHeight="1" x14ac:dyDescent="0.25">
      <c r="A12" s="93" t="s">
        <v>140</v>
      </c>
      <c r="B12" s="93" t="s">
        <v>141</v>
      </c>
      <c r="C12" s="95" t="e">
        <f>#REF!</f>
        <v>#REF!</v>
      </c>
      <c r="D12" s="95" t="e">
        <f t="shared" ref="D12:D14" si="3">D11</f>
        <v>#REF!</v>
      </c>
      <c r="E12" s="95" t="e">
        <f>C12*D12/1000</f>
        <v>#REF!</v>
      </c>
      <c r="F12" s="95" t="e">
        <f t="shared" si="0"/>
        <v>#REF!</v>
      </c>
      <c r="G12" s="95" t="e">
        <f t="shared" ref="G12:G14" si="4">D12</f>
        <v>#REF!</v>
      </c>
      <c r="H12" s="95" t="e">
        <f t="shared" si="1"/>
        <v>#REF!</v>
      </c>
      <c r="I12" s="99" t="e">
        <f>'П1 0,4 кВт льготн'!I11</f>
        <v>#REF!</v>
      </c>
      <c r="J12" s="99" t="e">
        <f>J11</f>
        <v>#REF!</v>
      </c>
      <c r="K12" s="99" t="e">
        <f t="shared" si="2"/>
        <v>#REF!</v>
      </c>
    </row>
    <row r="13" spans="1:15" ht="105.75" customHeight="1" x14ac:dyDescent="0.25">
      <c r="A13" s="93" t="s">
        <v>142</v>
      </c>
      <c r="B13" s="93" t="s">
        <v>143</v>
      </c>
      <c r="C13" s="95" t="e">
        <f>#REF!</f>
        <v>#REF!</v>
      </c>
      <c r="D13" s="95" t="e">
        <f t="shared" si="3"/>
        <v>#REF!</v>
      </c>
      <c r="E13" s="95" t="e">
        <f>C13*D13/1000</f>
        <v>#REF!</v>
      </c>
      <c r="F13" s="95" t="e">
        <f t="shared" si="0"/>
        <v>#REF!</v>
      </c>
      <c r="G13" s="95" t="e">
        <f t="shared" si="4"/>
        <v>#REF!</v>
      </c>
      <c r="H13" s="95" t="e">
        <f t="shared" si="1"/>
        <v>#REF!</v>
      </c>
      <c r="I13" s="99" t="e">
        <f>'П1 0,4 кВт льготн'!I12</f>
        <v>#REF!</v>
      </c>
      <c r="J13" s="99" t="e">
        <f>J12</f>
        <v>#REF!</v>
      </c>
      <c r="K13" s="99" t="e">
        <f t="shared" si="2"/>
        <v>#REF!</v>
      </c>
    </row>
    <row r="14" spans="1:15" ht="116.25" customHeight="1" x14ac:dyDescent="0.25">
      <c r="A14" s="93" t="s">
        <v>144</v>
      </c>
      <c r="B14" s="93" t="s">
        <v>145</v>
      </c>
      <c r="C14" s="95" t="e">
        <f>#REF!</f>
        <v>#REF!</v>
      </c>
      <c r="D14" s="95" t="e">
        <f t="shared" si="3"/>
        <v>#REF!</v>
      </c>
      <c r="E14" s="95" t="e">
        <f>C14*D14/1000</f>
        <v>#REF!</v>
      </c>
      <c r="F14" s="95" t="e">
        <f t="shared" si="0"/>
        <v>#REF!</v>
      </c>
      <c r="G14" s="95" t="e">
        <f t="shared" si="4"/>
        <v>#REF!</v>
      </c>
      <c r="H14" s="95" t="e">
        <f>F14*G14/1000</f>
        <v>#REF!</v>
      </c>
      <c r="I14" s="99">
        <f>'П1 0,4 кВт льготн'!I13</f>
        <v>0</v>
      </c>
      <c r="J14" s="99" t="e">
        <f>J13</f>
        <v>#REF!</v>
      </c>
      <c r="K14" s="99" t="e">
        <f t="shared" si="2"/>
        <v>#REF!</v>
      </c>
    </row>
    <row r="15" spans="1:15" ht="73.5" customHeight="1" x14ac:dyDescent="0.25">
      <c r="A15" s="93" t="s">
        <v>146</v>
      </c>
      <c r="B15" s="93" t="s">
        <v>168</v>
      </c>
      <c r="C15" s="92" t="s">
        <v>147</v>
      </c>
      <c r="D15" s="92" t="s">
        <v>147</v>
      </c>
      <c r="E15" s="99" t="e">
        <f>E16</f>
        <v>#REF!</v>
      </c>
      <c r="F15" s="92" t="s">
        <v>147</v>
      </c>
      <c r="G15" s="92" t="s">
        <v>147</v>
      </c>
      <c r="H15" s="96" t="e">
        <f>H16</f>
        <v>#REF!</v>
      </c>
      <c r="I15" s="99" t="s">
        <v>147</v>
      </c>
      <c r="J15" s="99" t="s">
        <v>147</v>
      </c>
      <c r="K15" s="99" t="e">
        <f>K16+K17+K18+K19+K20</f>
        <v>#REF!</v>
      </c>
      <c r="M15" s="87">
        <v>751700</v>
      </c>
      <c r="N15" s="87">
        <v>723537.62</v>
      </c>
      <c r="O15" s="87">
        <f>M15/N15</f>
        <v>1.0389231730618236</v>
      </c>
    </row>
    <row r="16" spans="1:15" ht="49.5" customHeight="1" x14ac:dyDescent="0.25">
      <c r="A16" s="93" t="s">
        <v>148</v>
      </c>
      <c r="B16" s="93" t="s">
        <v>149</v>
      </c>
      <c r="C16" s="96" t="e">
        <f>E16/D16*1000</f>
        <v>#REF!</v>
      </c>
      <c r="D16" s="92">
        <f>0.45+(0.1+0.085+0.06)+(0.64+0.125)+0.085+(0.19+0.28+0.275)+0.28</f>
        <v>2.5700000000000003</v>
      </c>
      <c r="E16" s="96" t="e">
        <f>#REF!</f>
        <v>#REF!</v>
      </c>
      <c r="F16" s="96" t="e">
        <f>C16</f>
        <v>#REF!</v>
      </c>
      <c r="G16" s="102">
        <f>D16</f>
        <v>2.5700000000000003</v>
      </c>
      <c r="H16" s="96" t="e">
        <f>F16*G16/1000</f>
        <v>#REF!</v>
      </c>
      <c r="I16" s="164">
        <f>1040600</f>
        <v>1040600</v>
      </c>
      <c r="J16" s="150" t="e">
        <f>#REF!</f>
        <v>#REF!</v>
      </c>
      <c r="K16" s="99" t="e">
        <f>I16*J16/1000</f>
        <v>#REF!</v>
      </c>
      <c r="M16" s="144">
        <f>O15*N16</f>
        <v>902441.2695306706</v>
      </c>
      <c r="N16" s="87">
        <v>868631.38</v>
      </c>
    </row>
    <row r="17" spans="1:12" ht="49.5" customHeight="1" x14ac:dyDescent="0.25">
      <c r="A17" s="93" t="s">
        <v>150</v>
      </c>
      <c r="B17" s="93" t="s">
        <v>151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129">
        <v>0</v>
      </c>
      <c r="J17" s="129">
        <v>0</v>
      </c>
      <c r="K17" s="129">
        <v>0</v>
      </c>
    </row>
    <row r="18" spans="1:12" ht="49.5" customHeight="1" x14ac:dyDescent="0.25">
      <c r="A18" s="93" t="s">
        <v>152</v>
      </c>
      <c r="B18" s="93" t="s">
        <v>153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129">
        <v>0</v>
      </c>
      <c r="J18" s="129">
        <v>0</v>
      </c>
      <c r="K18" s="129">
        <v>0</v>
      </c>
    </row>
    <row r="19" spans="1:12" ht="99.75" customHeight="1" x14ac:dyDescent="0.25">
      <c r="A19" s="93" t="s">
        <v>154</v>
      </c>
      <c r="B19" s="93" t="s">
        <v>155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29">
        <v>0</v>
      </c>
      <c r="J19" s="129">
        <v>0</v>
      </c>
      <c r="K19" s="129">
        <v>0</v>
      </c>
    </row>
    <row r="20" spans="1:12" ht="72.75" customHeight="1" x14ac:dyDescent="0.25">
      <c r="A20" s="93" t="s">
        <v>156</v>
      </c>
      <c r="B20" s="93" t="s">
        <v>157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147">
        <v>0</v>
      </c>
      <c r="J20" s="147">
        <v>0</v>
      </c>
      <c r="K20" s="147">
        <v>0</v>
      </c>
    </row>
    <row r="21" spans="1:12" ht="62.25" customHeight="1" x14ac:dyDescent="0.25">
      <c r="A21" s="93" t="s">
        <v>158</v>
      </c>
      <c r="B21" s="93" t="s">
        <v>169</v>
      </c>
      <c r="C21" s="92" t="s">
        <v>147</v>
      </c>
      <c r="D21" s="92" t="s">
        <v>147</v>
      </c>
      <c r="E21" s="101" t="e">
        <f>E22*E23/1000</f>
        <v>#REF!</v>
      </c>
      <c r="F21" s="92" t="s">
        <v>147</v>
      </c>
      <c r="G21" s="92" t="s">
        <v>147</v>
      </c>
      <c r="H21" s="95" t="e">
        <f>H22*H23/1000</f>
        <v>#REF!</v>
      </c>
      <c r="I21" s="147" t="s">
        <v>147</v>
      </c>
      <c r="J21" s="147" t="s">
        <v>147</v>
      </c>
      <c r="K21" s="99" t="e">
        <f>K22*K23/1000</f>
        <v>#REF!</v>
      </c>
    </row>
    <row r="22" spans="1:12" ht="40.5" customHeight="1" x14ac:dyDescent="0.25">
      <c r="A22" s="93" t="s">
        <v>159</v>
      </c>
      <c r="B22" s="93" t="s">
        <v>160</v>
      </c>
      <c r="C22" s="92" t="s">
        <v>147</v>
      </c>
      <c r="D22" s="92" t="s">
        <v>147</v>
      </c>
      <c r="E22" s="99" t="e">
        <f>(E10+E15/2)/19*1000</f>
        <v>#REF!</v>
      </c>
      <c r="F22" s="100" t="s">
        <v>147</v>
      </c>
      <c r="G22" s="100" t="s">
        <v>147</v>
      </c>
      <c r="H22" s="99" t="e">
        <f>E22</f>
        <v>#REF!</v>
      </c>
      <c r="I22" s="147" t="s">
        <v>147</v>
      </c>
      <c r="J22" s="147" t="s">
        <v>147</v>
      </c>
      <c r="K22" s="99" t="e">
        <f>K10*1000/K23</f>
        <v>#REF!</v>
      </c>
      <c r="L22" s="144"/>
    </row>
    <row r="23" spans="1:12" ht="161.25" customHeight="1" x14ac:dyDescent="0.25">
      <c r="A23" s="93" t="s">
        <v>161</v>
      </c>
      <c r="B23" s="93" t="s">
        <v>170</v>
      </c>
      <c r="C23" s="92" t="s">
        <v>147</v>
      </c>
      <c r="D23" s="92" t="s">
        <v>147</v>
      </c>
      <c r="E23" s="92" t="e">
        <f>#REF!</f>
        <v>#REF!</v>
      </c>
      <c r="F23" s="92" t="s">
        <v>147</v>
      </c>
      <c r="G23" s="92" t="s">
        <v>147</v>
      </c>
      <c r="H23" s="92" t="e">
        <f>E23</f>
        <v>#REF!</v>
      </c>
      <c r="I23" s="147" t="s">
        <v>147</v>
      </c>
      <c r="J23" s="147" t="s">
        <v>147</v>
      </c>
      <c r="K23" s="143" t="e">
        <f>#REF!</f>
        <v>#REF!</v>
      </c>
    </row>
    <row r="24" spans="1:12" ht="98.25" customHeight="1" x14ac:dyDescent="0.25">
      <c r="A24" s="93" t="s">
        <v>162</v>
      </c>
      <c r="B24" s="93" t="s">
        <v>171</v>
      </c>
      <c r="C24" s="92" t="s">
        <v>147</v>
      </c>
      <c r="D24" s="92" t="s">
        <v>147</v>
      </c>
      <c r="E24" s="96" t="e">
        <f>E10+E15-E21</f>
        <v>#REF!</v>
      </c>
      <c r="F24" s="92" t="s">
        <v>147</v>
      </c>
      <c r="G24" s="92" t="s">
        <v>147</v>
      </c>
      <c r="H24" s="96" t="e">
        <f>H10+H15-H21</f>
        <v>#REF!</v>
      </c>
      <c r="I24" s="147" t="s">
        <v>147</v>
      </c>
      <c r="J24" s="147" t="s">
        <v>147</v>
      </c>
      <c r="K24" s="99" t="e">
        <f>K10+K15-K21</f>
        <v>#REF!</v>
      </c>
    </row>
    <row r="29" spans="1:12" ht="20.25" x14ac:dyDescent="0.3">
      <c r="A29" s="83" t="str">
        <f>'Информация о тех. прис.'!A56</f>
        <v>Директор ООО "Трансэнерго"</v>
      </c>
      <c r="B29" s="83"/>
      <c r="C29" s="83"/>
      <c r="D29" s="83"/>
      <c r="E29" s="83"/>
      <c r="F29" s="83"/>
      <c r="G29" s="83"/>
      <c r="H29" s="83"/>
      <c r="J29" s="318" t="s">
        <v>166</v>
      </c>
      <c r="K29" s="318"/>
    </row>
  </sheetData>
  <mergeCells count="9">
    <mergeCell ref="J29:K29"/>
    <mergeCell ref="G1:K1"/>
    <mergeCell ref="A3:K3"/>
    <mergeCell ref="A4:K4"/>
    <mergeCell ref="A6:A8"/>
    <mergeCell ref="B6:B8"/>
    <mergeCell ref="C6:E7"/>
    <mergeCell ref="F6:H7"/>
    <mergeCell ref="I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rowBreaks count="2" manualBreakCount="2">
    <brk id="13" max="10" man="1"/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25</vt:i4>
      </vt:variant>
    </vt:vector>
  </HeadingPairs>
  <TitlesOfParts>
    <vt:vector size="46" baseType="lpstr">
      <vt:lpstr>Лист1</vt:lpstr>
      <vt:lpstr>Исходная инф</vt:lpstr>
      <vt:lpstr>Информация о тех. прис.</vt:lpstr>
      <vt:lpstr>П1 до 15 кВт суммарно</vt:lpstr>
      <vt:lpstr>П1 от 15 до 150 (0,4 кВт) сумм</vt:lpstr>
      <vt:lpstr>П1 0,4 кВт льготн</vt:lpstr>
      <vt:lpstr>П1 0,4кв льготн+стр-во(Шмонин)</vt:lpstr>
      <vt:lpstr>П1 0,4кВт повторное</vt:lpstr>
      <vt:lpstr>0,4кВ Приложение №3</vt:lpstr>
      <vt:lpstr>04 кВт ЛЬГОТН</vt:lpstr>
      <vt:lpstr>0,4 кВт НЕ льготн</vt:lpstr>
      <vt:lpstr>0,4 кВт перенос в льготн</vt:lpstr>
      <vt:lpstr>0,4 кВт пере в льготн</vt:lpstr>
      <vt:lpstr>6 кВ Приложение №3</vt:lpstr>
      <vt:lpstr>Факт за 2017 г.</vt:lpstr>
      <vt:lpstr>Факт за 2016 г.</vt:lpstr>
      <vt:lpstr>Анализ факта</vt:lpstr>
      <vt:lpstr>проверка</vt:lpstr>
      <vt:lpstr>Раб1</vt:lpstr>
      <vt:lpstr>Раб2</vt:lpstr>
      <vt:lpstr>Лист2</vt:lpstr>
      <vt:lpstr>'0,4 кВт НЕ льготн'!Заголовки_для_печати</vt:lpstr>
      <vt:lpstr>'0,4кВ Приложение №3'!Заголовки_для_печати</vt:lpstr>
      <vt:lpstr>'04 кВт ЛЬГОТН'!Заголовки_для_печати</vt:lpstr>
      <vt:lpstr>'6 кВ Приложение №3'!Заголовки_для_печати</vt:lpstr>
      <vt:lpstr>'Информация о тех. прис.'!Заголовки_для_печати</vt:lpstr>
      <vt:lpstr>'Исходная инф'!Заголовки_для_печати</vt:lpstr>
      <vt:lpstr>'П1 0,4 кВт льготн'!Заголовки_для_печати</vt:lpstr>
      <vt:lpstr>'П1 0,4кв льготн+стр-во(Шмонин)'!Заголовки_для_печати</vt:lpstr>
      <vt:lpstr>'П1 0,4кВт повторное'!Заголовки_для_печати</vt:lpstr>
      <vt:lpstr>'П1 до 15 кВт суммарно'!Заголовки_для_печати</vt:lpstr>
      <vt:lpstr>'П1 от 15 до 150 (0,4 кВт) сумм'!Заголовки_для_печати</vt:lpstr>
      <vt:lpstr>'0,4 кВт НЕ льготн'!Область_печати</vt:lpstr>
      <vt:lpstr>'0,4кВ Приложение №3'!Область_печати</vt:lpstr>
      <vt:lpstr>'04 кВт ЛЬГОТН'!Область_печати</vt:lpstr>
      <vt:lpstr>'6 кВ Приложение №3'!Область_печати</vt:lpstr>
      <vt:lpstr>'Информация о тех. прис.'!Область_печати</vt:lpstr>
      <vt:lpstr>'Исходная инф'!Область_печати</vt:lpstr>
      <vt:lpstr>'П1 0,4 кВт льготн'!Область_печати</vt:lpstr>
      <vt:lpstr>'П1 0,4кв льготн+стр-во(Шмонин)'!Область_печати</vt:lpstr>
      <vt:lpstr>'П1 0,4кВт повторное'!Область_печати</vt:lpstr>
      <vt:lpstr>'П1 до 15 кВт суммарно'!Область_печати</vt:lpstr>
      <vt:lpstr>'П1 от 15 до 150 (0,4 кВт) сумм'!Область_печати</vt:lpstr>
      <vt:lpstr>проверка!Область_печати</vt:lpstr>
      <vt:lpstr>Раб1!Область_печати</vt:lpstr>
      <vt:lpstr>Раб2!Область_печати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sklad</dc:creator>
  <cp:lastModifiedBy>StarshiyMaster</cp:lastModifiedBy>
  <cp:lastPrinted>2018-04-24T00:58:00Z</cp:lastPrinted>
  <dcterms:created xsi:type="dcterms:W3CDTF">2017-03-17T00:21:26Z</dcterms:created>
  <dcterms:modified xsi:type="dcterms:W3CDTF">2019-11-07T00:55:12Z</dcterms:modified>
</cp:coreProperties>
</file>